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Z:\Document Identification\Controlled Document\Forms\"/>
    </mc:Choice>
  </mc:AlternateContent>
  <xr:revisionPtr revIDLastSave="0" documentId="13_ncr:1_{EA77C142-D967-402B-BEFE-876670490661}" xr6:coauthVersionLast="36" xr6:coauthVersionMax="36" xr10:uidLastSave="{00000000-0000-0000-0000-000000000000}"/>
  <bookViews>
    <workbookView xWindow="0" yWindow="0" windowWidth="25600" windowHeight="10080" tabRatio="779" xr2:uid="{00000000-000D-0000-FFFF-FFFF00000000}"/>
  </bookViews>
  <sheets>
    <sheet name="Document Control" sheetId="21" r:id="rId1"/>
    <sheet name="Applicant information" sheetId="20" r:id="rId2"/>
    <sheet name="Management reporting" sheetId="6" r:id="rId3"/>
    <sheet name="Balance Sheet" sheetId="8" r:id="rId4"/>
    <sheet name="Income Sheet" sheetId="9" r:id="rId5"/>
    <sheet name="Pre-conditions" sheetId="1" r:id="rId6"/>
    <sheet name="Technical details" sheetId="5" r:id="rId7"/>
    <sheet name="Investment budget" sheetId="3" r:id="rId8"/>
    <sheet name="Financing" sheetId="2" r:id="rId9"/>
    <sheet name="Income" sheetId="4" r:id="rId10"/>
    <sheet name="Balance Sheet - Stakeholder 1" sheetId="10" r:id="rId11"/>
    <sheet name="Balance Sheet - Stakeholder 2" sheetId="12" r:id="rId12"/>
    <sheet name="Balance Sheet - Stakeholder 3" sheetId="14" r:id="rId13"/>
    <sheet name="Balance Sheet - Stakeholder 4" sheetId="16" r:id="rId14"/>
    <sheet name="Balance Sheet - Stakeholder 5" sheetId="18" r:id="rId15"/>
    <sheet name="Income Sheet - Stakeholder 1" sheetId="11" r:id="rId16"/>
    <sheet name="Income Sheet - Stakeholder  2" sheetId="13" r:id="rId17"/>
    <sheet name="Income Sheet - Stakeholder  3" sheetId="15" r:id="rId18"/>
    <sheet name="Income Sheet - Stakeholder  4" sheetId="17" r:id="rId19"/>
    <sheet name="Income Sheet - Stakeholder  5" sheetId="19" r:id="rId20"/>
    <sheet name="Sheet2" sheetId="7" r:id="rId21"/>
  </sheets>
  <externalReferences>
    <externalReference r:id="rId22"/>
  </externalReferences>
  <definedNames>
    <definedName name="_Toc486353754" localSheetId="0">'Document Control'!$B$15</definedName>
    <definedName name="A">SUM([1]!CurrentAssets[[ ]])</definedName>
    <definedName name="B">SUM([1]!CurrentLiabilities[[ ]])</definedName>
    <definedName name="C_">INDEX([1]!CurrentAssets[[ ]],MATCH("*[C]*",[1]!CurrentAssets[Current Assets],0))</definedName>
    <definedName name="D">INDEX([1]!CurrentAssets[[ ]],MATCH("*[D]*",[1]!CurrentAssets[Current Assets],0))</definedName>
    <definedName name="E" localSheetId="10">'Balance Sheet - Stakeholder 1'!$C$40</definedName>
    <definedName name="E" localSheetId="11">'Balance Sheet - Stakeholder 2'!$C$40</definedName>
    <definedName name="E" localSheetId="12">'Balance Sheet - Stakeholder 3'!$C$40</definedName>
    <definedName name="E" localSheetId="13">'Balance Sheet - Stakeholder 4'!$C$40</definedName>
    <definedName name="E" localSheetId="14">'Balance Sheet - Stakeholder 5'!$C$40</definedName>
    <definedName name="E">'Balance Sheet'!$C$44</definedName>
    <definedName name="F" localSheetId="10">'Balance Sheet - Stakeholder 1'!$C$42</definedName>
    <definedName name="F" localSheetId="11">'Balance Sheet - Stakeholder 2'!$C$42</definedName>
    <definedName name="F" localSheetId="12">'Balance Sheet - Stakeholder 3'!$C$42</definedName>
    <definedName name="F" localSheetId="13">'Balance Sheet - Stakeholder 4'!$C$42</definedName>
    <definedName name="F" localSheetId="14">'Balance Sheet - Stakeholder 5'!$C$42</definedName>
    <definedName name="F">'Balance Sheet'!$C$46</definedName>
    <definedName name="G">INDEX([1]!OtherLiabilities[[ ]],MATCH("*[G]*",[1]!OtherLiabilities[Other Liabilities],0))</definedName>
    <definedName name="H">INDEX([1]!CurrentLiabilities[[ ]],MATCH("*[H]*",[1]!CurrentLiabilities[Current Liabilities],0))</definedName>
    <definedName name="_xlnm.Print_Area" localSheetId="1">'Applicant information'!$A$1:$J$39</definedName>
    <definedName name="_xlnm.Print_Area" localSheetId="3">'Balance Sheet'!$A$1:$H$73</definedName>
    <definedName name="_xlnm.Print_Area" localSheetId="10">'Balance Sheet - Stakeholder 1'!$A$1:$H$69</definedName>
    <definedName name="_xlnm.Print_Area" localSheetId="11">'Balance Sheet - Stakeholder 2'!$A$1:$H$69</definedName>
    <definedName name="_xlnm.Print_Area" localSheetId="12">'Balance Sheet - Stakeholder 3'!$A$1:$H$69</definedName>
    <definedName name="_xlnm.Print_Area" localSheetId="13">'Balance Sheet - Stakeholder 4'!$A$1:$H$69</definedName>
    <definedName name="_xlnm.Print_Area" localSheetId="14">'Balance Sheet - Stakeholder 5'!$A$1:$H$69</definedName>
    <definedName name="_xlnm.Print_Area" localSheetId="8">Financing!$A$1:$AL$91</definedName>
    <definedName name="_xlnm.Print_Area" localSheetId="9">Income!$A$1:$AI$72</definedName>
    <definedName name="_xlnm.Print_Area" localSheetId="4">'Income Sheet'!$A$1:$S$47</definedName>
    <definedName name="_xlnm.Print_Area" localSheetId="16">'Income Sheet - Stakeholder  2'!$A$2:$S$44</definedName>
    <definedName name="_xlnm.Print_Area" localSheetId="17">'Income Sheet - Stakeholder  3'!$A$2:$S$44</definedName>
    <definedName name="_xlnm.Print_Area" localSheetId="18">'Income Sheet - Stakeholder  4'!$A$2:$S$44</definedName>
    <definedName name="_xlnm.Print_Area" localSheetId="19">'Income Sheet - Stakeholder  5'!$A$2:$S$44</definedName>
    <definedName name="_xlnm.Print_Area" localSheetId="15">'Income Sheet - Stakeholder 1'!$A$2:$S$44</definedName>
    <definedName name="_xlnm.Print_Area" localSheetId="7">'Investment budget'!$A$1:$I$102</definedName>
    <definedName name="_xlnm.Print_Area" localSheetId="2">'Management reporting'!$A$1:$O$77</definedName>
    <definedName name="_xlnm.Print_Area" localSheetId="5">'Pre-conditions'!$A$1:$AI$38</definedName>
    <definedName name="_xlnm.Print_Area" localSheetId="6">'Technical details'!$A$1:$F$23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0" l="1"/>
  <c r="G21" i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H22" i="5"/>
  <c r="G22" i="5"/>
  <c r="H19" i="5"/>
  <c r="H17" i="5"/>
  <c r="G17" i="5"/>
  <c r="F17" i="5"/>
  <c r="H10" i="5"/>
  <c r="H20" i="5" s="1"/>
  <c r="G10" i="5"/>
  <c r="G19" i="5" s="1"/>
  <c r="F10" i="5"/>
  <c r="F18" i="5" s="1"/>
  <c r="G18" i="5" l="1"/>
  <c r="H18" i="5"/>
  <c r="H21" i="5" s="1"/>
  <c r="F20" i="5"/>
  <c r="F19" i="5"/>
  <c r="G20" i="5"/>
  <c r="H32" i="2"/>
  <c r="H31" i="2"/>
  <c r="H30" i="2"/>
  <c r="H29" i="2"/>
  <c r="G21" i="5" l="1"/>
  <c r="F21" i="5"/>
  <c r="F22" i="5" s="1"/>
  <c r="D25" i="3"/>
  <c r="S26" i="6" l="1"/>
  <c r="R26" i="6"/>
  <c r="S27" i="6"/>
  <c r="R27" i="6"/>
  <c r="R28" i="6"/>
  <c r="R25" i="6"/>
  <c r="I19" i="3" l="1"/>
  <c r="N23" i="3"/>
  <c r="G43" i="2" l="1"/>
  <c r="A43" i="2"/>
  <c r="G49" i="2"/>
  <c r="G48" i="2"/>
  <c r="G47" i="2"/>
  <c r="G46" i="2"/>
  <c r="G45" i="2"/>
  <c r="G44" i="2"/>
  <c r="I78" i="2"/>
  <c r="I60" i="2"/>
  <c r="I54" i="2"/>
  <c r="A16" i="2" l="1"/>
  <c r="A15" i="2"/>
  <c r="A14" i="2"/>
  <c r="A13" i="2"/>
  <c r="A12" i="2"/>
  <c r="A11" i="2"/>
  <c r="G40" i="11" l="1"/>
  <c r="E40" i="11"/>
  <c r="C40" i="11"/>
  <c r="G39" i="11"/>
  <c r="E39" i="11"/>
  <c r="C39" i="11"/>
  <c r="G35" i="11"/>
  <c r="E35" i="11"/>
  <c r="C35" i="11"/>
  <c r="G30" i="11"/>
  <c r="E30" i="11"/>
  <c r="C30" i="11"/>
  <c r="G29" i="11"/>
  <c r="E29" i="11"/>
  <c r="C29" i="11"/>
  <c r="G28" i="11"/>
  <c r="E28" i="11"/>
  <c r="C28" i="11"/>
  <c r="G27" i="11"/>
  <c r="E27" i="11"/>
  <c r="C27" i="11"/>
  <c r="G26" i="11"/>
  <c r="E26" i="11"/>
  <c r="C26" i="11"/>
  <c r="G25" i="11"/>
  <c r="E25" i="11"/>
  <c r="C25" i="11"/>
  <c r="G24" i="11"/>
  <c r="E24" i="11"/>
  <c r="C24" i="11"/>
  <c r="G19" i="11"/>
  <c r="E19" i="11"/>
  <c r="C19" i="11"/>
  <c r="G18" i="11"/>
  <c r="E18" i="11"/>
  <c r="C18" i="11"/>
  <c r="G17" i="11"/>
  <c r="E17" i="11"/>
  <c r="C17" i="11"/>
  <c r="G16" i="11"/>
  <c r="E16" i="11"/>
  <c r="C16" i="11"/>
  <c r="G15" i="11"/>
  <c r="E15" i="11"/>
  <c r="C15" i="11"/>
  <c r="C9" i="11"/>
  <c r="E9" i="11"/>
  <c r="G9" i="11"/>
  <c r="C10" i="11"/>
  <c r="E10" i="11"/>
  <c r="G10" i="11"/>
  <c r="C11" i="11"/>
  <c r="E11" i="11"/>
  <c r="G11" i="11"/>
  <c r="G8" i="11"/>
  <c r="E8" i="11"/>
  <c r="C8" i="11"/>
  <c r="G62" i="10" l="1"/>
  <c r="G61" i="10"/>
  <c r="G60" i="10"/>
  <c r="G59" i="10"/>
  <c r="G55" i="10"/>
  <c r="G54" i="10"/>
  <c r="G53" i="10"/>
  <c r="G52" i="10"/>
  <c r="G48" i="10"/>
  <c r="G47" i="10"/>
  <c r="G46" i="10"/>
  <c r="E62" i="10"/>
  <c r="E61" i="10"/>
  <c r="E60" i="10"/>
  <c r="E59" i="10"/>
  <c r="E55" i="10"/>
  <c r="E54" i="10"/>
  <c r="E53" i="10"/>
  <c r="E52" i="10"/>
  <c r="E48" i="10"/>
  <c r="E47" i="10"/>
  <c r="E46" i="10"/>
  <c r="C62" i="10"/>
  <c r="C61" i="10"/>
  <c r="C60" i="10"/>
  <c r="C59" i="10"/>
  <c r="C55" i="10"/>
  <c r="C54" i="10"/>
  <c r="C53" i="10"/>
  <c r="C52" i="10"/>
  <c r="C48" i="10"/>
  <c r="C47" i="10"/>
  <c r="C46" i="10"/>
  <c r="C34" i="10"/>
  <c r="C33" i="10"/>
  <c r="C32" i="10"/>
  <c r="C31" i="10"/>
  <c r="E34" i="10"/>
  <c r="E33" i="10"/>
  <c r="E32" i="10"/>
  <c r="E31" i="10"/>
  <c r="G34" i="10"/>
  <c r="G33" i="10"/>
  <c r="G32" i="10"/>
  <c r="G31" i="10"/>
  <c r="G27" i="10"/>
  <c r="G26" i="10"/>
  <c r="E27" i="10"/>
  <c r="E26" i="10"/>
  <c r="C27" i="10"/>
  <c r="C26" i="10"/>
  <c r="G18" i="10"/>
  <c r="G19" i="10"/>
  <c r="G20" i="10"/>
  <c r="G21" i="10"/>
  <c r="G22" i="10"/>
  <c r="E18" i="10"/>
  <c r="E19" i="10"/>
  <c r="E20" i="10"/>
  <c r="E21" i="10"/>
  <c r="E22" i="10"/>
  <c r="C18" i="10"/>
  <c r="C19" i="10"/>
  <c r="C21" i="10"/>
  <c r="C22" i="10"/>
  <c r="G17" i="10"/>
  <c r="E17" i="10"/>
  <c r="C17" i="10"/>
  <c r="A6" i="2"/>
  <c r="A7" i="2"/>
  <c r="A8" i="2"/>
  <c r="A9" i="2"/>
  <c r="A5" i="2"/>
  <c r="G35" i="13"/>
  <c r="E35" i="13"/>
  <c r="C35" i="13"/>
  <c r="N13" i="3" l="1"/>
  <c r="W11" i="8" l="1"/>
  <c r="W13" i="8"/>
  <c r="W14" i="8"/>
  <c r="W15" i="8"/>
  <c r="W16" i="8"/>
  <c r="W12" i="8"/>
  <c r="L55" i="6"/>
  <c r="L56" i="6"/>
  <c r="L57" i="6"/>
  <c r="L58" i="6"/>
  <c r="L54" i="6"/>
  <c r="C8" i="18"/>
  <c r="N1" i="3"/>
  <c r="Q12" i="4" l="1"/>
  <c r="R12" i="4"/>
  <c r="S12" i="4"/>
  <c r="D22" i="5" l="1"/>
  <c r="C10" i="5"/>
  <c r="C18" i="5" s="1"/>
  <c r="G52" i="8"/>
  <c r="G51" i="8"/>
  <c r="G50" i="8"/>
  <c r="E52" i="8"/>
  <c r="E51" i="8"/>
  <c r="E50" i="8"/>
  <c r="C52" i="8"/>
  <c r="C51" i="8"/>
  <c r="C50" i="8"/>
  <c r="G49" i="18"/>
  <c r="G8" i="18" s="1"/>
  <c r="E49" i="18"/>
  <c r="E8" i="18" s="1"/>
  <c r="G49" i="16"/>
  <c r="G8" i="16" s="1"/>
  <c r="E49" i="16"/>
  <c r="E8" i="16" s="1"/>
  <c r="C49" i="16"/>
  <c r="C8" i="16" s="1"/>
  <c r="G49" i="14"/>
  <c r="G8" i="14" s="1"/>
  <c r="E49" i="14"/>
  <c r="E8" i="14" s="1"/>
  <c r="C49" i="14"/>
  <c r="C8" i="14" s="1"/>
  <c r="C56" i="14"/>
  <c r="E56" i="14"/>
  <c r="G56" i="14"/>
  <c r="G49" i="12"/>
  <c r="E49" i="12"/>
  <c r="E8" i="12" s="1"/>
  <c r="C49" i="12"/>
  <c r="C8" i="12" s="1"/>
  <c r="E49" i="10"/>
  <c r="E8" i="10" s="1"/>
  <c r="G49" i="10"/>
  <c r="G8" i="10" s="1"/>
  <c r="E53" i="8" l="1"/>
  <c r="G53" i="8"/>
  <c r="C53" i="8"/>
  <c r="C49" i="10"/>
  <c r="C8" i="10" s="1"/>
  <c r="E49" i="4"/>
  <c r="E48" i="4"/>
  <c r="E47" i="4"/>
  <c r="E6" i="7" l="1"/>
  <c r="M2" i="6" l="1"/>
  <c r="F1" i="18"/>
  <c r="E6" i="8" s="1"/>
  <c r="E6" i="9" s="1"/>
  <c r="F1" i="16"/>
  <c r="F2" i="17" s="1"/>
  <c r="F1" i="14"/>
  <c r="F2" i="15" s="1"/>
  <c r="F1" i="12"/>
  <c r="E3" i="8" s="1"/>
  <c r="E3" i="9" s="1"/>
  <c r="F1" i="10"/>
  <c r="E2" i="8" s="1"/>
  <c r="E2" i="9" s="1"/>
  <c r="L64" i="6"/>
  <c r="L63" i="6"/>
  <c r="L62" i="6"/>
  <c r="L61" i="6"/>
  <c r="L60" i="6"/>
  <c r="G7" i="9"/>
  <c r="U15" i="9" s="1"/>
  <c r="E7" i="9"/>
  <c r="V15" i="9" s="1"/>
  <c r="B33" i="9"/>
  <c r="B32" i="9"/>
  <c r="B22" i="9"/>
  <c r="B21" i="9"/>
  <c r="B14" i="9"/>
  <c r="B13" i="9"/>
  <c r="C43" i="9"/>
  <c r="C42" i="9"/>
  <c r="E43" i="9"/>
  <c r="E42" i="9"/>
  <c r="G43" i="9"/>
  <c r="G42" i="9"/>
  <c r="G38" i="9"/>
  <c r="E38" i="9"/>
  <c r="C38" i="9"/>
  <c r="G33" i="9"/>
  <c r="G32" i="9"/>
  <c r="G31" i="9"/>
  <c r="G30" i="9"/>
  <c r="G29" i="9"/>
  <c r="G28" i="9"/>
  <c r="G27" i="9"/>
  <c r="E33" i="9"/>
  <c r="E32" i="9"/>
  <c r="E31" i="9"/>
  <c r="E30" i="9"/>
  <c r="E29" i="9"/>
  <c r="E28" i="9"/>
  <c r="E27" i="9"/>
  <c r="C33" i="9"/>
  <c r="C32" i="9"/>
  <c r="C31" i="9"/>
  <c r="C30" i="9"/>
  <c r="C29" i="9"/>
  <c r="C28" i="9"/>
  <c r="C27" i="9"/>
  <c r="G22" i="9"/>
  <c r="G21" i="9"/>
  <c r="G20" i="9"/>
  <c r="G19" i="9"/>
  <c r="G18" i="9"/>
  <c r="E22" i="9"/>
  <c r="E21" i="9"/>
  <c r="E20" i="9"/>
  <c r="E19" i="9"/>
  <c r="E18" i="9"/>
  <c r="C22" i="9"/>
  <c r="C21" i="9"/>
  <c r="C20" i="9"/>
  <c r="C19" i="9"/>
  <c r="C18" i="9"/>
  <c r="G14" i="9"/>
  <c r="G13" i="9"/>
  <c r="G12" i="9"/>
  <c r="E14" i="9"/>
  <c r="E13" i="9"/>
  <c r="E12" i="9"/>
  <c r="C12" i="9"/>
  <c r="C13" i="9"/>
  <c r="C14" i="9"/>
  <c r="G66" i="8"/>
  <c r="G65" i="8"/>
  <c r="G64" i="8"/>
  <c r="G63" i="8"/>
  <c r="E66" i="8"/>
  <c r="E65" i="8"/>
  <c r="E64" i="8"/>
  <c r="E63" i="8"/>
  <c r="G59" i="8"/>
  <c r="G58" i="8"/>
  <c r="G57" i="8"/>
  <c r="E59" i="8"/>
  <c r="E58" i="8"/>
  <c r="E57" i="8"/>
  <c r="E56" i="8"/>
  <c r="C66" i="8"/>
  <c r="C65" i="8"/>
  <c r="C64" i="8"/>
  <c r="C63" i="8"/>
  <c r="C59" i="8"/>
  <c r="C58" i="8"/>
  <c r="C57" i="8"/>
  <c r="C56" i="8"/>
  <c r="G38" i="8"/>
  <c r="G37" i="8"/>
  <c r="G36" i="8"/>
  <c r="G35" i="8"/>
  <c r="E38" i="8"/>
  <c r="E37" i="8"/>
  <c r="E36" i="8"/>
  <c r="E35" i="8"/>
  <c r="C38" i="8"/>
  <c r="C37" i="8"/>
  <c r="C36" i="8"/>
  <c r="C35" i="8"/>
  <c r="G31" i="8"/>
  <c r="G30" i="8"/>
  <c r="E31" i="8"/>
  <c r="E30" i="8"/>
  <c r="C31" i="8"/>
  <c r="C30" i="8"/>
  <c r="G26" i="8"/>
  <c r="G25" i="8"/>
  <c r="G24" i="8"/>
  <c r="G23" i="8"/>
  <c r="G22" i="8"/>
  <c r="G21" i="8"/>
  <c r="E26" i="8"/>
  <c r="E25" i="8"/>
  <c r="E24" i="8"/>
  <c r="E23" i="8"/>
  <c r="E22" i="8"/>
  <c r="E21" i="8"/>
  <c r="C22" i="8"/>
  <c r="C23" i="8"/>
  <c r="C24" i="8"/>
  <c r="C25" i="8"/>
  <c r="C26" i="8"/>
  <c r="C21" i="8"/>
  <c r="C12" i="8" l="1"/>
  <c r="Z12" i="8" s="1"/>
  <c r="E12" i="8"/>
  <c r="Y12" i="8" s="1"/>
  <c r="F2" i="19"/>
  <c r="F2" i="11"/>
  <c r="F2" i="13"/>
  <c r="E4" i="8"/>
  <c r="E4" i="9" s="1"/>
  <c r="E5" i="8"/>
  <c r="E5" i="9" s="1"/>
  <c r="G41" i="19"/>
  <c r="H41" i="19" s="1"/>
  <c r="U16" i="19" s="1"/>
  <c r="E41" i="19"/>
  <c r="D41" i="19"/>
  <c r="C41" i="19"/>
  <c r="G31" i="19"/>
  <c r="E31" i="19"/>
  <c r="C31" i="19"/>
  <c r="W28" i="19"/>
  <c r="V28" i="19"/>
  <c r="T27" i="19"/>
  <c r="G20" i="19"/>
  <c r="E20" i="19"/>
  <c r="C20" i="19"/>
  <c r="T17" i="19"/>
  <c r="T29" i="19" s="1"/>
  <c r="W16" i="19"/>
  <c r="T16" i="19"/>
  <c r="T28" i="19" s="1"/>
  <c r="T15" i="19"/>
  <c r="T14" i="19"/>
  <c r="T26" i="19" s="1"/>
  <c r="T13" i="19"/>
  <c r="T25" i="19" s="1"/>
  <c r="G12" i="19"/>
  <c r="G21" i="19" s="1"/>
  <c r="E12" i="19"/>
  <c r="E21" i="19" s="1"/>
  <c r="C12" i="19"/>
  <c r="C21" i="19" s="1"/>
  <c r="D21" i="19" s="1"/>
  <c r="W13" i="19" s="1"/>
  <c r="G4" i="19"/>
  <c r="U12" i="19" s="1"/>
  <c r="U24" i="19" s="1"/>
  <c r="E4" i="19"/>
  <c r="V12" i="19" s="1"/>
  <c r="V24" i="19" s="1"/>
  <c r="C4" i="19"/>
  <c r="W12" i="19" s="1"/>
  <c r="W24" i="19" s="1"/>
  <c r="C68" i="18"/>
  <c r="C67" i="18"/>
  <c r="G63" i="18"/>
  <c r="E63" i="18"/>
  <c r="C63" i="18"/>
  <c r="G56" i="18"/>
  <c r="G65" i="18" s="1"/>
  <c r="E56" i="18"/>
  <c r="C56" i="18"/>
  <c r="G35" i="18"/>
  <c r="E35" i="18"/>
  <c r="C35" i="18"/>
  <c r="G28" i="18"/>
  <c r="E28" i="18"/>
  <c r="C28" i="18"/>
  <c r="G23" i="18"/>
  <c r="E23" i="18"/>
  <c r="E4" i="18" s="1"/>
  <c r="C23" i="18"/>
  <c r="E5" i="18"/>
  <c r="G3" i="18"/>
  <c r="E3" i="18"/>
  <c r="C3" i="18"/>
  <c r="G41" i="17"/>
  <c r="E41" i="17"/>
  <c r="F41" i="17" s="1"/>
  <c r="V16" i="17" s="1"/>
  <c r="C41" i="17"/>
  <c r="G31" i="17"/>
  <c r="E31" i="17"/>
  <c r="C31" i="17"/>
  <c r="G20" i="17"/>
  <c r="E20" i="17"/>
  <c r="C20" i="17"/>
  <c r="T17" i="17"/>
  <c r="T29" i="17" s="1"/>
  <c r="T16" i="17"/>
  <c r="T28" i="17" s="1"/>
  <c r="T15" i="17"/>
  <c r="T27" i="17" s="1"/>
  <c r="T14" i="17"/>
  <c r="T26" i="17" s="1"/>
  <c r="T13" i="17"/>
  <c r="T25" i="17" s="1"/>
  <c r="G12" i="17"/>
  <c r="G21" i="17" s="1"/>
  <c r="E12" i="17"/>
  <c r="E21" i="17" s="1"/>
  <c r="C12" i="17"/>
  <c r="C21" i="17" s="1"/>
  <c r="G4" i="17"/>
  <c r="U12" i="17" s="1"/>
  <c r="U24" i="17" s="1"/>
  <c r="E4" i="17"/>
  <c r="V12" i="17" s="1"/>
  <c r="V24" i="17" s="1"/>
  <c r="C4" i="17"/>
  <c r="W12" i="17" s="1"/>
  <c r="W24" i="17" s="1"/>
  <c r="C68" i="16"/>
  <c r="C67" i="16"/>
  <c r="G63" i="16"/>
  <c r="E63" i="16"/>
  <c r="C63" i="16"/>
  <c r="G56" i="16"/>
  <c r="E56" i="16"/>
  <c r="C56" i="16"/>
  <c r="G35" i="16"/>
  <c r="E35" i="16"/>
  <c r="C35" i="16"/>
  <c r="G28" i="16"/>
  <c r="E28" i="16"/>
  <c r="C28" i="16"/>
  <c r="G23" i="16"/>
  <c r="G7" i="16" s="1"/>
  <c r="E23" i="16"/>
  <c r="C23" i="16"/>
  <c r="G3" i="16"/>
  <c r="E3" i="16"/>
  <c r="C3" i="16"/>
  <c r="G41" i="15"/>
  <c r="E41" i="15"/>
  <c r="C41" i="15"/>
  <c r="G31" i="15"/>
  <c r="E31" i="15"/>
  <c r="C31" i="15"/>
  <c r="V28" i="15"/>
  <c r="G20" i="15"/>
  <c r="E20" i="15"/>
  <c r="C20" i="15"/>
  <c r="T17" i="15"/>
  <c r="T29" i="15" s="1"/>
  <c r="T16" i="15"/>
  <c r="T28" i="15" s="1"/>
  <c r="T15" i="15"/>
  <c r="T27" i="15" s="1"/>
  <c r="T14" i="15"/>
  <c r="T26" i="15" s="1"/>
  <c r="T13" i="15"/>
  <c r="T25" i="15" s="1"/>
  <c r="G12" i="15"/>
  <c r="E12" i="15"/>
  <c r="E21" i="15" s="1"/>
  <c r="C12" i="15"/>
  <c r="C21" i="15" s="1"/>
  <c r="G4" i="15"/>
  <c r="U12" i="15" s="1"/>
  <c r="U24" i="15" s="1"/>
  <c r="E4" i="15"/>
  <c r="V12" i="15" s="1"/>
  <c r="V24" i="15" s="1"/>
  <c r="C4" i="15"/>
  <c r="W12" i="15" s="1"/>
  <c r="W24" i="15" s="1"/>
  <c r="C68" i="14"/>
  <c r="C67" i="14"/>
  <c r="G63" i="14"/>
  <c r="G65" i="14" s="1"/>
  <c r="E63" i="14"/>
  <c r="E65" i="14" s="1"/>
  <c r="C63" i="14"/>
  <c r="C65" i="14" s="1"/>
  <c r="G6" i="14"/>
  <c r="G35" i="14"/>
  <c r="E35" i="14"/>
  <c r="C35" i="14"/>
  <c r="G28" i="14"/>
  <c r="E28" i="14"/>
  <c r="C28" i="14"/>
  <c r="G23" i="14"/>
  <c r="G7" i="14" s="1"/>
  <c r="E23" i="14"/>
  <c r="C23" i="14"/>
  <c r="C6" i="14"/>
  <c r="G3" i="14"/>
  <c r="E3" i="14"/>
  <c r="C3" i="14"/>
  <c r="G41" i="13"/>
  <c r="E41" i="13"/>
  <c r="C41" i="13"/>
  <c r="G31" i="13"/>
  <c r="E31" i="13"/>
  <c r="C31" i="13"/>
  <c r="G20" i="13"/>
  <c r="E20" i="13"/>
  <c r="C20" i="13"/>
  <c r="T17" i="13"/>
  <c r="T29" i="13" s="1"/>
  <c r="T16" i="13"/>
  <c r="T28" i="13" s="1"/>
  <c r="T15" i="13"/>
  <c r="T27" i="13" s="1"/>
  <c r="T14" i="13"/>
  <c r="T26" i="13" s="1"/>
  <c r="T13" i="13"/>
  <c r="T25" i="13" s="1"/>
  <c r="G4" i="13"/>
  <c r="U12" i="13" s="1"/>
  <c r="U24" i="13" s="1"/>
  <c r="E4" i="13"/>
  <c r="V12" i="13" s="1"/>
  <c r="V24" i="13" s="1"/>
  <c r="C4" i="13"/>
  <c r="W12" i="13" s="1"/>
  <c r="W24" i="13" s="1"/>
  <c r="C68" i="12"/>
  <c r="C67" i="12"/>
  <c r="G63" i="12"/>
  <c r="E63" i="12"/>
  <c r="C63" i="12"/>
  <c r="E56" i="12"/>
  <c r="C56" i="12"/>
  <c r="G35" i="12"/>
  <c r="E35" i="12"/>
  <c r="C35" i="12"/>
  <c r="G28" i="12"/>
  <c r="E28" i="12"/>
  <c r="C28" i="12"/>
  <c r="G23" i="12"/>
  <c r="E23" i="12"/>
  <c r="C23" i="12"/>
  <c r="G3" i="12"/>
  <c r="E3" i="12"/>
  <c r="C3" i="12"/>
  <c r="G41" i="11"/>
  <c r="E41" i="11"/>
  <c r="C41" i="11"/>
  <c r="G31" i="11"/>
  <c r="E31" i="11"/>
  <c r="C31" i="11"/>
  <c r="T27" i="11"/>
  <c r="G20" i="11"/>
  <c r="E20" i="11"/>
  <c r="C20" i="11"/>
  <c r="T17" i="11"/>
  <c r="T29" i="11" s="1"/>
  <c r="T16" i="11"/>
  <c r="T28" i="11" s="1"/>
  <c r="T15" i="11"/>
  <c r="T14" i="11"/>
  <c r="T26" i="11" s="1"/>
  <c r="T13" i="11"/>
  <c r="T25" i="11" s="1"/>
  <c r="G12" i="11"/>
  <c r="E12" i="11"/>
  <c r="E21" i="11" s="1"/>
  <c r="C12" i="11"/>
  <c r="C21" i="11" s="1"/>
  <c r="G4" i="11"/>
  <c r="U12" i="11" s="1"/>
  <c r="U24" i="11" s="1"/>
  <c r="E4" i="11"/>
  <c r="V12" i="11" s="1"/>
  <c r="V24" i="11" s="1"/>
  <c r="C4" i="11"/>
  <c r="W12" i="11" s="1"/>
  <c r="W24" i="11" s="1"/>
  <c r="C68" i="10"/>
  <c r="C67" i="10"/>
  <c r="G63" i="10"/>
  <c r="E63" i="10"/>
  <c r="C63" i="10"/>
  <c r="G56" i="10"/>
  <c r="E56" i="10"/>
  <c r="C56" i="10"/>
  <c r="G35" i="10"/>
  <c r="E35" i="10"/>
  <c r="C35" i="10"/>
  <c r="G28" i="10"/>
  <c r="E28" i="10"/>
  <c r="C28" i="10"/>
  <c r="G23" i="10"/>
  <c r="E23" i="10"/>
  <c r="C23" i="10"/>
  <c r="G3" i="10"/>
  <c r="E3" i="10"/>
  <c r="C3" i="10"/>
  <c r="D41" i="15" l="1"/>
  <c r="W16" i="15" s="1"/>
  <c r="G6" i="18"/>
  <c r="G21" i="15"/>
  <c r="V25" i="15" s="1"/>
  <c r="F41" i="15"/>
  <c r="V16" i="15" s="1"/>
  <c r="D41" i="17"/>
  <c r="W16" i="17" s="1"/>
  <c r="H41" i="15"/>
  <c r="U16" i="15" s="1"/>
  <c r="H41" i="17"/>
  <c r="U16" i="17" s="1"/>
  <c r="V28" i="17"/>
  <c r="F41" i="19"/>
  <c r="V16" i="19" s="1"/>
  <c r="W28" i="13"/>
  <c r="M54" i="6"/>
  <c r="N54" i="6"/>
  <c r="G4" i="18"/>
  <c r="C37" i="18"/>
  <c r="C65" i="18"/>
  <c r="G5" i="18"/>
  <c r="E65" i="18"/>
  <c r="C7" i="16"/>
  <c r="C65" i="16"/>
  <c r="E6" i="16"/>
  <c r="E65" i="16"/>
  <c r="G65" i="16"/>
  <c r="E37" i="14"/>
  <c r="E12" i="14" s="1"/>
  <c r="C6" i="12"/>
  <c r="C65" i="12"/>
  <c r="E6" i="12"/>
  <c r="E65" i="12"/>
  <c r="C7" i="12"/>
  <c r="C4" i="12"/>
  <c r="C65" i="10"/>
  <c r="E6" i="10"/>
  <c r="E65" i="10"/>
  <c r="G6" i="10"/>
  <c r="G65" i="10"/>
  <c r="V28" i="11"/>
  <c r="W25" i="11"/>
  <c r="G21" i="11"/>
  <c r="H41" i="11"/>
  <c r="U16" i="11" s="1"/>
  <c r="F41" i="11"/>
  <c r="V16" i="11" s="1"/>
  <c r="D41" i="11"/>
  <c r="W16" i="11" s="1"/>
  <c r="C4" i="18"/>
  <c r="C5" i="16"/>
  <c r="G37" i="12"/>
  <c r="H19" i="12" s="1"/>
  <c r="E4" i="12"/>
  <c r="C37" i="12"/>
  <c r="E5" i="10"/>
  <c r="G5" i="10"/>
  <c r="E4" i="10"/>
  <c r="C37" i="10"/>
  <c r="G37" i="10"/>
  <c r="G7" i="10"/>
  <c r="C7" i="18"/>
  <c r="E37" i="18"/>
  <c r="C6" i="18"/>
  <c r="E7" i="18"/>
  <c r="G37" i="18"/>
  <c r="H22" i="18" s="1"/>
  <c r="C5" i="18"/>
  <c r="E6" i="18"/>
  <c r="G7" i="18"/>
  <c r="E4" i="16"/>
  <c r="E37" i="16"/>
  <c r="C5" i="10"/>
  <c r="C7" i="10"/>
  <c r="C4" i="10"/>
  <c r="F31" i="18"/>
  <c r="F28" i="18"/>
  <c r="F17" i="18"/>
  <c r="F35" i="18"/>
  <c r="F27" i="18"/>
  <c r="F18" i="18"/>
  <c r="F20" i="18"/>
  <c r="D35" i="18"/>
  <c r="D20" i="18"/>
  <c r="D32" i="18"/>
  <c r="D28" i="18"/>
  <c r="D31" i="18"/>
  <c r="D26" i="18"/>
  <c r="D21" i="18"/>
  <c r="D27" i="18"/>
  <c r="D22" i="18"/>
  <c r="D18" i="18"/>
  <c r="D19" i="18"/>
  <c r="C9" i="18"/>
  <c r="H27" i="18"/>
  <c r="V25" i="19"/>
  <c r="E33" i="19"/>
  <c r="W25" i="19"/>
  <c r="F21" i="19"/>
  <c r="V13" i="19" s="1"/>
  <c r="C33" i="19"/>
  <c r="G33" i="19"/>
  <c r="H21" i="19"/>
  <c r="U13" i="19" s="1"/>
  <c r="F18" i="16"/>
  <c r="G4" i="16"/>
  <c r="G37" i="16"/>
  <c r="G5" i="16"/>
  <c r="C4" i="16"/>
  <c r="C37" i="16"/>
  <c r="D21" i="17"/>
  <c r="W13" i="17" s="1"/>
  <c r="C33" i="17"/>
  <c r="V25" i="17"/>
  <c r="H21" i="17"/>
  <c r="U13" i="17" s="1"/>
  <c r="G33" i="17"/>
  <c r="E7" i="16"/>
  <c r="E5" i="16"/>
  <c r="D28" i="16"/>
  <c r="C6" i="16"/>
  <c r="E33" i="17"/>
  <c r="W25" i="17"/>
  <c r="F21" i="17"/>
  <c r="V13" i="17" s="1"/>
  <c r="G6" i="16"/>
  <c r="W28" i="17"/>
  <c r="C7" i="14"/>
  <c r="C4" i="14"/>
  <c r="D21" i="15"/>
  <c r="W13" i="15" s="1"/>
  <c r="C33" i="15"/>
  <c r="C5" i="14"/>
  <c r="F28" i="14"/>
  <c r="F17" i="14"/>
  <c r="F18" i="14"/>
  <c r="F34" i="14"/>
  <c r="C37" i="14"/>
  <c r="E33" i="15"/>
  <c r="W25" i="15"/>
  <c r="F21" i="15"/>
  <c r="V13" i="15" s="1"/>
  <c r="G4" i="14"/>
  <c r="G5" i="14"/>
  <c r="G37" i="14"/>
  <c r="E7" i="14"/>
  <c r="E4" i="14"/>
  <c r="E5" i="14"/>
  <c r="E6" i="14"/>
  <c r="W28" i="15"/>
  <c r="C5" i="12"/>
  <c r="V28" i="13"/>
  <c r="E5" i="12"/>
  <c r="E37" i="12"/>
  <c r="E7" i="12"/>
  <c r="D21" i="11"/>
  <c r="W13" i="11" s="1"/>
  <c r="C33" i="11"/>
  <c r="W28" i="11"/>
  <c r="D33" i="10"/>
  <c r="H31" i="10"/>
  <c r="E37" i="10"/>
  <c r="G4" i="10"/>
  <c r="C6" i="10"/>
  <c r="E7" i="10"/>
  <c r="H21" i="15" l="1"/>
  <c r="U13" i="15" s="1"/>
  <c r="G33" i="15"/>
  <c r="G10" i="16"/>
  <c r="G10" i="12"/>
  <c r="G10" i="18"/>
  <c r="G10" i="14"/>
  <c r="G10" i="10"/>
  <c r="E10" i="18"/>
  <c r="E10" i="16"/>
  <c r="E10" i="14"/>
  <c r="E10" i="12"/>
  <c r="E10" i="10"/>
  <c r="C10" i="18"/>
  <c r="C10" i="14"/>
  <c r="C10" i="10"/>
  <c r="C10" i="16"/>
  <c r="C10" i="12"/>
  <c r="H35" i="12"/>
  <c r="H17" i="12"/>
  <c r="H23" i="12"/>
  <c r="H22" i="12"/>
  <c r="H21" i="12"/>
  <c r="H34" i="12"/>
  <c r="H27" i="12"/>
  <c r="H31" i="12"/>
  <c r="H33" i="12"/>
  <c r="H32" i="12"/>
  <c r="H20" i="12"/>
  <c r="D27" i="12"/>
  <c r="D26" i="12"/>
  <c r="C39" i="12"/>
  <c r="C40" i="12" s="1"/>
  <c r="C8" i="13" s="1"/>
  <c r="D32" i="12"/>
  <c r="C9" i="12"/>
  <c r="H18" i="18"/>
  <c r="G12" i="18"/>
  <c r="H31" i="18"/>
  <c r="G9" i="18"/>
  <c r="C12" i="18"/>
  <c r="H28" i="18"/>
  <c r="H34" i="18"/>
  <c r="D33" i="18"/>
  <c r="D17" i="18"/>
  <c r="D23" i="18"/>
  <c r="D34" i="18"/>
  <c r="F23" i="18"/>
  <c r="E12" i="18"/>
  <c r="F31" i="16"/>
  <c r="E12" i="16"/>
  <c r="H35" i="16"/>
  <c r="G12" i="16"/>
  <c r="D35" i="16"/>
  <c r="C12" i="16"/>
  <c r="H23" i="14"/>
  <c r="G12" i="14"/>
  <c r="E9" i="14"/>
  <c r="F22" i="14"/>
  <c r="F21" i="14"/>
  <c r="F31" i="14"/>
  <c r="F35" i="14"/>
  <c r="E39" i="14"/>
  <c r="E40" i="14" s="1"/>
  <c r="F19" i="14"/>
  <c r="F27" i="14"/>
  <c r="F23" i="14"/>
  <c r="F20" i="14"/>
  <c r="D28" i="14"/>
  <c r="C12" i="14"/>
  <c r="F33" i="14"/>
  <c r="F32" i="14"/>
  <c r="F26" i="14"/>
  <c r="F23" i="12"/>
  <c r="E12" i="12"/>
  <c r="D34" i="12"/>
  <c r="C12" i="12"/>
  <c r="D35" i="12"/>
  <c r="H26" i="12"/>
  <c r="H28" i="12"/>
  <c r="H18" i="12"/>
  <c r="D18" i="12"/>
  <c r="E12" i="10"/>
  <c r="H35" i="10"/>
  <c r="G12" i="10"/>
  <c r="D18" i="10"/>
  <c r="C12" i="10"/>
  <c r="E33" i="11"/>
  <c r="F33" i="11" s="1"/>
  <c r="V14" i="11" s="1"/>
  <c r="F21" i="11"/>
  <c r="V13" i="11" s="1"/>
  <c r="V25" i="11"/>
  <c r="H21" i="11"/>
  <c r="U13" i="11" s="1"/>
  <c r="G33" i="11"/>
  <c r="G37" i="11" s="1"/>
  <c r="H17" i="18"/>
  <c r="H33" i="18"/>
  <c r="H32" i="18"/>
  <c r="E39" i="18"/>
  <c r="F32" i="18"/>
  <c r="F21" i="18"/>
  <c r="H20" i="18"/>
  <c r="H26" i="18"/>
  <c r="G39" i="18"/>
  <c r="H35" i="18"/>
  <c r="F33" i="18"/>
  <c r="E9" i="18"/>
  <c r="F26" i="18"/>
  <c r="E9" i="16"/>
  <c r="F21" i="16"/>
  <c r="H28" i="16"/>
  <c r="D21" i="12"/>
  <c r="D22" i="12"/>
  <c r="D17" i="12"/>
  <c r="D33" i="12"/>
  <c r="D28" i="12"/>
  <c r="D20" i="12"/>
  <c r="D19" i="12"/>
  <c r="D23" i="12"/>
  <c r="D31" i="12"/>
  <c r="H33" i="10"/>
  <c r="D17" i="10"/>
  <c r="D31" i="10"/>
  <c r="D32" i="10"/>
  <c r="D22" i="10"/>
  <c r="D20" i="10"/>
  <c r="D28" i="10"/>
  <c r="D23" i="10"/>
  <c r="D19" i="10"/>
  <c r="H32" i="10"/>
  <c r="H18" i="10"/>
  <c r="H17" i="10"/>
  <c r="G39" i="10"/>
  <c r="G9" i="10"/>
  <c r="H22" i="10"/>
  <c r="H21" i="10"/>
  <c r="D35" i="10"/>
  <c r="D21" i="10"/>
  <c r="D34" i="10"/>
  <c r="C39" i="10"/>
  <c r="C40" i="10" s="1"/>
  <c r="H19" i="10"/>
  <c r="H27" i="10"/>
  <c r="H26" i="10"/>
  <c r="D27" i="10"/>
  <c r="D26" i="10"/>
  <c r="C9" i="10"/>
  <c r="H34" i="10"/>
  <c r="H28" i="10"/>
  <c r="H23" i="10"/>
  <c r="H20" i="10"/>
  <c r="C39" i="18"/>
  <c r="H23" i="18"/>
  <c r="H21" i="18"/>
  <c r="H19" i="18"/>
  <c r="F34" i="18"/>
  <c r="F22" i="18"/>
  <c r="F19" i="18"/>
  <c r="F23" i="16"/>
  <c r="F35" i="16"/>
  <c r="F22" i="16"/>
  <c r="F32" i="16"/>
  <c r="F26" i="16"/>
  <c r="F27" i="16"/>
  <c r="E39" i="16"/>
  <c r="F17" i="16"/>
  <c r="F19" i="16"/>
  <c r="F28" i="16"/>
  <c r="F20" i="16"/>
  <c r="F34" i="16"/>
  <c r="F33" i="16"/>
  <c r="F33" i="19"/>
  <c r="V14" i="19" s="1"/>
  <c r="W26" i="19"/>
  <c r="E37" i="19"/>
  <c r="G37" i="19"/>
  <c r="V26" i="19"/>
  <c r="H33" i="19"/>
  <c r="U14" i="19" s="1"/>
  <c r="C37" i="19"/>
  <c r="D33" i="19"/>
  <c r="W14" i="19" s="1"/>
  <c r="F37" i="18"/>
  <c r="H37" i="18"/>
  <c r="D37" i="18"/>
  <c r="F33" i="17"/>
  <c r="V14" i="17" s="1"/>
  <c r="W26" i="17"/>
  <c r="E37" i="17"/>
  <c r="G37" i="17"/>
  <c r="V26" i="17"/>
  <c r="H33" i="17"/>
  <c r="U14" i="17" s="1"/>
  <c r="D34" i="16"/>
  <c r="D20" i="16"/>
  <c r="D32" i="16"/>
  <c r="D27" i="16"/>
  <c r="D22" i="16"/>
  <c r="D18" i="16"/>
  <c r="D33" i="16"/>
  <c r="D21" i="16"/>
  <c r="C39" i="16"/>
  <c r="D19" i="16"/>
  <c r="D31" i="16"/>
  <c r="C9" i="16"/>
  <c r="D26" i="16"/>
  <c r="D17" i="16"/>
  <c r="C37" i="17"/>
  <c r="D33" i="17"/>
  <c r="W14" i="17" s="1"/>
  <c r="H32" i="16"/>
  <c r="H27" i="16"/>
  <c r="H22" i="16"/>
  <c r="H18" i="16"/>
  <c r="H34" i="16"/>
  <c r="H20" i="16"/>
  <c r="H31" i="16"/>
  <c r="H26" i="16"/>
  <c r="G9" i="16"/>
  <c r="H19" i="16"/>
  <c r="H21" i="16"/>
  <c r="G39" i="16"/>
  <c r="H17" i="16"/>
  <c r="H33" i="16"/>
  <c r="D23" i="16"/>
  <c r="H23" i="16"/>
  <c r="F33" i="15"/>
  <c r="V14" i="15" s="1"/>
  <c r="W26" i="15"/>
  <c r="E37" i="15"/>
  <c r="H28" i="14"/>
  <c r="D35" i="14"/>
  <c r="D34" i="14"/>
  <c r="D20" i="14"/>
  <c r="D32" i="14"/>
  <c r="D27" i="14"/>
  <c r="C39" i="14"/>
  <c r="D31" i="14"/>
  <c r="D26" i="14"/>
  <c r="D21" i="14"/>
  <c r="D17" i="14"/>
  <c r="D22" i="14"/>
  <c r="D18" i="14"/>
  <c r="C9" i="14"/>
  <c r="D19" i="14"/>
  <c r="D33" i="14"/>
  <c r="C37" i="15"/>
  <c r="D33" i="15"/>
  <c r="W14" i="15" s="1"/>
  <c r="G37" i="15"/>
  <c r="V26" i="15"/>
  <c r="H33" i="15"/>
  <c r="U14" i="15" s="1"/>
  <c r="H35" i="14"/>
  <c r="H32" i="14"/>
  <c r="H27" i="14"/>
  <c r="H22" i="14"/>
  <c r="H18" i="14"/>
  <c r="H20" i="14"/>
  <c r="G39" i="14"/>
  <c r="H33" i="14"/>
  <c r="H19" i="14"/>
  <c r="G9" i="14"/>
  <c r="H34" i="14"/>
  <c r="H31" i="14"/>
  <c r="H26" i="14"/>
  <c r="H21" i="14"/>
  <c r="H17" i="14"/>
  <c r="D23" i="14"/>
  <c r="F31" i="12"/>
  <c r="F26" i="12"/>
  <c r="F21" i="12"/>
  <c r="F17" i="12"/>
  <c r="F32" i="12"/>
  <c r="F27" i="12"/>
  <c r="F22" i="12"/>
  <c r="F35" i="12"/>
  <c r="F33" i="12"/>
  <c r="F19" i="12"/>
  <c r="E9" i="12"/>
  <c r="E39" i="12"/>
  <c r="F34" i="12"/>
  <c r="F20" i="12"/>
  <c r="F18" i="12"/>
  <c r="F28" i="12"/>
  <c r="D33" i="11"/>
  <c r="W14" i="11" s="1"/>
  <c r="C37" i="11"/>
  <c r="E39" i="10"/>
  <c r="F34" i="10"/>
  <c r="F20" i="10"/>
  <c r="F31" i="10"/>
  <c r="F26" i="10"/>
  <c r="F21" i="10"/>
  <c r="F17" i="10"/>
  <c r="F32" i="10"/>
  <c r="F27" i="10"/>
  <c r="F22" i="10"/>
  <c r="F18" i="10"/>
  <c r="E9" i="10"/>
  <c r="F19" i="10"/>
  <c r="F35" i="10"/>
  <c r="F33" i="10"/>
  <c r="F28" i="10"/>
  <c r="F23" i="10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Q34" i="2"/>
  <c r="Q41" i="2" s="1"/>
  <c r="R34" i="2"/>
  <c r="R41" i="2" s="1"/>
  <c r="S34" i="2"/>
  <c r="S41" i="2" s="1"/>
  <c r="T34" i="2"/>
  <c r="U34" i="2"/>
  <c r="U41" i="2" s="1"/>
  <c r="V34" i="2"/>
  <c r="V41" i="2" s="1"/>
  <c r="W34" i="2"/>
  <c r="W41" i="2" s="1"/>
  <c r="X34" i="2"/>
  <c r="Y34" i="2"/>
  <c r="Y41" i="2" s="1"/>
  <c r="Z34" i="2"/>
  <c r="AA34" i="2"/>
  <c r="AA41" i="2" s="1"/>
  <c r="AB34" i="2"/>
  <c r="AB41" i="2" s="1"/>
  <c r="AC34" i="2"/>
  <c r="AC41" i="2" s="1"/>
  <c r="AD34" i="2"/>
  <c r="AD41" i="2" s="1"/>
  <c r="AE34" i="2"/>
  <c r="AE41" i="2" s="1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B6" i="7" l="1"/>
  <c r="AE40" i="2"/>
  <c r="X6" i="7"/>
  <c r="AA40" i="2"/>
  <c r="T6" i="7"/>
  <c r="W40" i="2"/>
  <c r="P6" i="7"/>
  <c r="S40" i="2"/>
  <c r="AA6" i="7"/>
  <c r="AD40" i="2"/>
  <c r="W6" i="7"/>
  <c r="Z40" i="2"/>
  <c r="S6" i="7"/>
  <c r="V40" i="2"/>
  <c r="O6" i="7"/>
  <c r="R40" i="2"/>
  <c r="Z6" i="7"/>
  <c r="AC40" i="2"/>
  <c r="V6" i="7"/>
  <c r="Y40" i="2"/>
  <c r="R6" i="7"/>
  <c r="U40" i="2"/>
  <c r="N6" i="7"/>
  <c r="Q40" i="2"/>
  <c r="Y6" i="7"/>
  <c r="AB40" i="2"/>
  <c r="U6" i="7"/>
  <c r="X40" i="2"/>
  <c r="Q6" i="7"/>
  <c r="T40" i="2"/>
  <c r="X35" i="2"/>
  <c r="X41" i="2"/>
  <c r="T35" i="2"/>
  <c r="T41" i="2"/>
  <c r="Z35" i="2"/>
  <c r="Z41" i="2"/>
  <c r="E37" i="11"/>
  <c r="F37" i="11" s="1"/>
  <c r="V15" i="11" s="1"/>
  <c r="C11" i="9"/>
  <c r="C12" i="13"/>
  <c r="W26" i="11"/>
  <c r="H33" i="11"/>
  <c r="U14" i="11" s="1"/>
  <c r="V26" i="11"/>
  <c r="G40" i="18"/>
  <c r="E40" i="18"/>
  <c r="F37" i="12"/>
  <c r="H37" i="12"/>
  <c r="D37" i="12"/>
  <c r="AE35" i="2"/>
  <c r="AA35" i="2"/>
  <c r="W35" i="2"/>
  <c r="S35" i="2"/>
  <c r="D37" i="10"/>
  <c r="Y35" i="2"/>
  <c r="U35" i="2"/>
  <c r="Q35" i="2"/>
  <c r="AC35" i="2"/>
  <c r="AB35" i="2"/>
  <c r="G40" i="10"/>
  <c r="H40" i="10" s="1"/>
  <c r="H37" i="10"/>
  <c r="F37" i="10"/>
  <c r="C40" i="18"/>
  <c r="E40" i="16"/>
  <c r="H37" i="19"/>
  <c r="U15" i="19" s="1"/>
  <c r="G43" i="19"/>
  <c r="V27" i="19"/>
  <c r="W27" i="19"/>
  <c r="F37" i="19"/>
  <c r="V15" i="19" s="1"/>
  <c r="E43" i="19"/>
  <c r="D37" i="19"/>
  <c r="W15" i="19" s="1"/>
  <c r="C43" i="19"/>
  <c r="D43" i="19" s="1"/>
  <c r="W17" i="19" s="1"/>
  <c r="H37" i="17"/>
  <c r="U15" i="17" s="1"/>
  <c r="G43" i="17"/>
  <c r="V27" i="17"/>
  <c r="C40" i="16"/>
  <c r="G40" i="16"/>
  <c r="D37" i="17"/>
  <c r="W15" i="17" s="1"/>
  <c r="C43" i="17"/>
  <c r="D43" i="17" s="1"/>
  <c r="W17" i="17" s="1"/>
  <c r="W27" i="17"/>
  <c r="F37" i="17"/>
  <c r="V15" i="17" s="1"/>
  <c r="E43" i="17"/>
  <c r="F37" i="16"/>
  <c r="H37" i="16"/>
  <c r="D37" i="16"/>
  <c r="H37" i="15"/>
  <c r="U15" i="15" s="1"/>
  <c r="G43" i="15"/>
  <c r="V27" i="15"/>
  <c r="F37" i="14"/>
  <c r="H37" i="14"/>
  <c r="D37" i="14"/>
  <c r="C40" i="14"/>
  <c r="G40" i="14"/>
  <c r="D37" i="15"/>
  <c r="W15" i="15" s="1"/>
  <c r="C43" i="15"/>
  <c r="D43" i="15" s="1"/>
  <c r="W17" i="15" s="1"/>
  <c r="E43" i="15"/>
  <c r="W27" i="15"/>
  <c r="F37" i="15"/>
  <c r="V15" i="15" s="1"/>
  <c r="H62" i="12"/>
  <c r="F61" i="12"/>
  <c r="D60" i="12"/>
  <c r="D55" i="12"/>
  <c r="H53" i="12"/>
  <c r="F52" i="12"/>
  <c r="D39" i="12"/>
  <c r="F62" i="12"/>
  <c r="D61" i="12"/>
  <c r="H59" i="12"/>
  <c r="H54" i="12"/>
  <c r="F53" i="12"/>
  <c r="D52" i="12"/>
  <c r="D62" i="12"/>
  <c r="H60" i="12"/>
  <c r="F59" i="12"/>
  <c r="H55" i="12"/>
  <c r="F54" i="12"/>
  <c r="D53" i="12"/>
  <c r="D40" i="12"/>
  <c r="F39" i="12"/>
  <c r="H61" i="12"/>
  <c r="F60" i="12"/>
  <c r="D59" i="12"/>
  <c r="F55" i="12"/>
  <c r="D54" i="12"/>
  <c r="H52" i="12"/>
  <c r="F65" i="12"/>
  <c r="E40" i="12"/>
  <c r="D65" i="12"/>
  <c r="D37" i="11"/>
  <c r="W15" i="11" s="1"/>
  <c r="C43" i="11"/>
  <c r="H37" i="11"/>
  <c r="U15" i="11" s="1"/>
  <c r="G43" i="11"/>
  <c r="H61" i="10"/>
  <c r="F60" i="10"/>
  <c r="D59" i="10"/>
  <c r="F55" i="10"/>
  <c r="D54" i="10"/>
  <c r="H52" i="10"/>
  <c r="F61" i="10"/>
  <c r="D60" i="10"/>
  <c r="D55" i="10"/>
  <c r="H53" i="10"/>
  <c r="F52" i="10"/>
  <c r="H39" i="10"/>
  <c r="D39" i="10"/>
  <c r="D61" i="10"/>
  <c r="H59" i="10"/>
  <c r="H54" i="10"/>
  <c r="F53" i="10"/>
  <c r="D52" i="10"/>
  <c r="H60" i="10"/>
  <c r="F59" i="10"/>
  <c r="H55" i="10"/>
  <c r="F54" i="10"/>
  <c r="D53" i="10"/>
  <c r="D40" i="10"/>
  <c r="F39" i="10"/>
  <c r="H62" i="10"/>
  <c r="F62" i="10"/>
  <c r="D62" i="10"/>
  <c r="F65" i="10"/>
  <c r="H65" i="10"/>
  <c r="D65" i="10"/>
  <c r="E40" i="10"/>
  <c r="F40" i="10" s="1"/>
  <c r="AD35" i="2"/>
  <c r="V35" i="2"/>
  <c r="R35" i="2"/>
  <c r="G11" i="10" l="1"/>
  <c r="G11" i="16"/>
  <c r="G11" i="18"/>
  <c r="G11" i="12"/>
  <c r="G11" i="14"/>
  <c r="W27" i="11"/>
  <c r="V27" i="11"/>
  <c r="E43" i="11"/>
  <c r="W29" i="11" s="1"/>
  <c r="D43" i="11"/>
  <c r="W17" i="11" s="1"/>
  <c r="C11" i="14"/>
  <c r="C11" i="16"/>
  <c r="C11" i="10"/>
  <c r="C11" i="12"/>
  <c r="C11" i="18"/>
  <c r="F40" i="12"/>
  <c r="E69" i="12" s="1"/>
  <c r="E8" i="13"/>
  <c r="C21" i="13"/>
  <c r="D41" i="13"/>
  <c r="W16" i="13" s="1"/>
  <c r="D52" i="14"/>
  <c r="F53" i="14"/>
  <c r="H54" i="14"/>
  <c r="F52" i="14"/>
  <c r="H53" i="14"/>
  <c r="D55" i="14"/>
  <c r="H52" i="14"/>
  <c r="D54" i="14"/>
  <c r="F55" i="14"/>
  <c r="D53" i="14"/>
  <c r="F54" i="14"/>
  <c r="H55" i="14"/>
  <c r="D65" i="18"/>
  <c r="D55" i="18"/>
  <c r="H39" i="18"/>
  <c r="G69" i="18" s="1"/>
  <c r="F39" i="18"/>
  <c r="H54" i="18"/>
  <c r="D53" i="18"/>
  <c r="F55" i="18"/>
  <c r="F59" i="18"/>
  <c r="H65" i="18"/>
  <c r="F65" i="18"/>
  <c r="H62" i="18"/>
  <c r="H53" i="18"/>
  <c r="D39" i="18"/>
  <c r="F62" i="18"/>
  <c r="F53" i="18"/>
  <c r="H61" i="18"/>
  <c r="D54" i="18"/>
  <c r="F54" i="18"/>
  <c r="F61" i="18"/>
  <c r="F52" i="18"/>
  <c r="H55" i="18"/>
  <c r="D61" i="18"/>
  <c r="D52" i="18"/>
  <c r="F60" i="18"/>
  <c r="H52" i="18"/>
  <c r="D40" i="18"/>
  <c r="D60" i="18"/>
  <c r="F40" i="18"/>
  <c r="H40" i="18"/>
  <c r="H59" i="18"/>
  <c r="H60" i="18"/>
  <c r="D59" i="18"/>
  <c r="D62" i="18"/>
  <c r="F43" i="19"/>
  <c r="V17" i="19" s="1"/>
  <c r="W29" i="19"/>
  <c r="H43" i="19"/>
  <c r="U17" i="19" s="1"/>
  <c r="V29" i="19"/>
  <c r="F43" i="17"/>
  <c r="V17" i="17" s="1"/>
  <c r="W29" i="17"/>
  <c r="H43" i="17"/>
  <c r="U17" i="17" s="1"/>
  <c r="V29" i="17"/>
  <c r="H62" i="16"/>
  <c r="F61" i="16"/>
  <c r="D60" i="16"/>
  <c r="D55" i="16"/>
  <c r="H53" i="16"/>
  <c r="F52" i="16"/>
  <c r="F40" i="16"/>
  <c r="H39" i="16"/>
  <c r="D39" i="16"/>
  <c r="F62" i="16"/>
  <c r="D61" i="16"/>
  <c r="H59" i="16"/>
  <c r="D62" i="16"/>
  <c r="H60" i="16"/>
  <c r="F59" i="16"/>
  <c r="H55" i="16"/>
  <c r="F54" i="16"/>
  <c r="D53" i="16"/>
  <c r="H40" i="16"/>
  <c r="D40" i="16"/>
  <c r="F39" i="16"/>
  <c r="H61" i="16"/>
  <c r="F60" i="16"/>
  <c r="D59" i="16"/>
  <c r="F55" i="16"/>
  <c r="D54" i="16"/>
  <c r="H52" i="16"/>
  <c r="H54" i="16"/>
  <c r="F53" i="16"/>
  <c r="D52" i="16"/>
  <c r="H65" i="16"/>
  <c r="F65" i="16"/>
  <c r="D65" i="16"/>
  <c r="W29" i="15"/>
  <c r="F43" i="15"/>
  <c r="V17" i="15" s="1"/>
  <c r="H62" i="14"/>
  <c r="F61" i="14"/>
  <c r="D60" i="14"/>
  <c r="F40" i="14"/>
  <c r="H39" i="14"/>
  <c r="D39" i="14"/>
  <c r="H60" i="14"/>
  <c r="D40" i="14"/>
  <c r="F60" i="14"/>
  <c r="F62" i="14"/>
  <c r="D61" i="14"/>
  <c r="H59" i="14"/>
  <c r="D62" i="14"/>
  <c r="F59" i="14"/>
  <c r="H40" i="14"/>
  <c r="F39" i="14"/>
  <c r="H61" i="14"/>
  <c r="D59" i="14"/>
  <c r="H65" i="14"/>
  <c r="D65" i="14"/>
  <c r="F65" i="14"/>
  <c r="H43" i="15"/>
  <c r="U17" i="15" s="1"/>
  <c r="V29" i="15"/>
  <c r="F63" i="12"/>
  <c r="H63" i="12"/>
  <c r="D63" i="12"/>
  <c r="H56" i="12"/>
  <c r="D56" i="12"/>
  <c r="F56" i="12"/>
  <c r="C69" i="12"/>
  <c r="H43" i="11"/>
  <c r="U17" i="11" s="1"/>
  <c r="F63" i="10"/>
  <c r="H63" i="10"/>
  <c r="D63" i="10"/>
  <c r="E69" i="10"/>
  <c r="H56" i="10"/>
  <c r="D56" i="10"/>
  <c r="F56" i="10"/>
  <c r="C69" i="10"/>
  <c r="G69" i="10"/>
  <c r="G67" i="8"/>
  <c r="E67" i="8"/>
  <c r="E60" i="8"/>
  <c r="E39" i="8"/>
  <c r="G39" i="8"/>
  <c r="E27" i="8"/>
  <c r="G27" i="8"/>
  <c r="G32" i="8"/>
  <c r="E32" i="8"/>
  <c r="C72" i="8"/>
  <c r="C71" i="8"/>
  <c r="V29" i="11" l="1"/>
  <c r="F43" i="11"/>
  <c r="V17" i="11" s="1"/>
  <c r="E11" i="14"/>
  <c r="E11" i="12"/>
  <c r="E11" i="18"/>
  <c r="E11" i="10"/>
  <c r="E11" i="16"/>
  <c r="E11" i="9"/>
  <c r="E12" i="13"/>
  <c r="D21" i="13"/>
  <c r="W13" i="13" s="1"/>
  <c r="C33" i="13"/>
  <c r="E8" i="8"/>
  <c r="E10" i="8"/>
  <c r="Y11" i="8" s="1"/>
  <c r="E9" i="8"/>
  <c r="E69" i="8"/>
  <c r="D56" i="14"/>
  <c r="H56" i="14"/>
  <c r="F56" i="14"/>
  <c r="D63" i="18"/>
  <c r="H63" i="18"/>
  <c r="F63" i="18"/>
  <c r="E69" i="18"/>
  <c r="F56" i="18"/>
  <c r="H56" i="18"/>
  <c r="D56" i="18"/>
  <c r="C69" i="18"/>
  <c r="E11" i="8"/>
  <c r="G69" i="16"/>
  <c r="F63" i="16"/>
  <c r="H63" i="16"/>
  <c r="D63" i="16"/>
  <c r="H56" i="16"/>
  <c r="D56" i="16"/>
  <c r="F56" i="16"/>
  <c r="E69" i="16"/>
  <c r="C69" i="16"/>
  <c r="F63" i="14"/>
  <c r="D63" i="14"/>
  <c r="H63" i="14"/>
  <c r="E69" i="14"/>
  <c r="C69" i="14"/>
  <c r="G69" i="14"/>
  <c r="L45" i="6"/>
  <c r="L51" i="6" s="1"/>
  <c r="L44" i="6"/>
  <c r="L50" i="6" s="1"/>
  <c r="L43" i="6"/>
  <c r="L49" i="6" s="1"/>
  <c r="L42" i="6"/>
  <c r="L48" i="6" s="1"/>
  <c r="L41" i="6"/>
  <c r="L47" i="6" s="1"/>
  <c r="L39" i="6"/>
  <c r="L38" i="6"/>
  <c r="L37" i="6"/>
  <c r="L36" i="6"/>
  <c r="L35" i="6"/>
  <c r="L34" i="6"/>
  <c r="L33" i="6"/>
  <c r="L32" i="6"/>
  <c r="T20" i="9"/>
  <c r="T32" i="9" s="1"/>
  <c r="T19" i="9"/>
  <c r="T31" i="9" s="1"/>
  <c r="T18" i="9"/>
  <c r="T30" i="9" s="1"/>
  <c r="T17" i="9"/>
  <c r="T29" i="9" s="1"/>
  <c r="T16" i="9"/>
  <c r="T28" i="9" s="1"/>
  <c r="E21" i="13" l="1"/>
  <c r="F41" i="13"/>
  <c r="V16" i="13" s="1"/>
  <c r="C37" i="13"/>
  <c r="D33" i="13"/>
  <c r="W14" i="13" s="1"/>
  <c r="G44" i="9"/>
  <c r="O38" i="6" s="1"/>
  <c r="E44" i="9"/>
  <c r="N38" i="6" s="1"/>
  <c r="G34" i="9"/>
  <c r="O35" i="6" s="1"/>
  <c r="E34" i="9"/>
  <c r="N35" i="6" s="1"/>
  <c r="G23" i="9"/>
  <c r="O33" i="6" s="1"/>
  <c r="E23" i="9"/>
  <c r="N33" i="6" s="1"/>
  <c r="E15" i="9"/>
  <c r="N32" i="6" s="1"/>
  <c r="C44" i="9"/>
  <c r="M38" i="6" s="1"/>
  <c r="C34" i="9"/>
  <c r="M35" i="6" s="1"/>
  <c r="C23" i="9"/>
  <c r="M33" i="6" s="1"/>
  <c r="C15" i="9"/>
  <c r="M32" i="6" s="1"/>
  <c r="C7" i="9"/>
  <c r="W15" i="9" s="1"/>
  <c r="G7" i="8"/>
  <c r="X10" i="8" s="1"/>
  <c r="E7" i="8"/>
  <c r="Y10" i="8" s="1"/>
  <c r="G41" i="8"/>
  <c r="E41" i="8"/>
  <c r="C7" i="8"/>
  <c r="Z10" i="8" s="1"/>
  <c r="C60" i="8"/>
  <c r="C27" i="8"/>
  <c r="C39" i="8"/>
  <c r="C67" i="8"/>
  <c r="C32" i="8"/>
  <c r="E33" i="13" l="1"/>
  <c r="F21" i="13"/>
  <c r="V13" i="13" s="1"/>
  <c r="W25" i="13"/>
  <c r="D37" i="13"/>
  <c r="W15" i="13" s="1"/>
  <c r="C43" i="13"/>
  <c r="E13" i="8"/>
  <c r="Y13" i="8" s="1"/>
  <c r="E14" i="8"/>
  <c r="Y14" i="8" s="1"/>
  <c r="E16" i="8"/>
  <c r="Y16" i="8" s="1"/>
  <c r="C10" i="8"/>
  <c r="Z11" i="8" s="1"/>
  <c r="C69" i="8"/>
  <c r="W27" i="9"/>
  <c r="M31" i="6"/>
  <c r="V27" i="9"/>
  <c r="N31" i="6"/>
  <c r="U27" i="9"/>
  <c r="O31" i="6"/>
  <c r="C41" i="8"/>
  <c r="V31" i="9"/>
  <c r="N50" i="6" s="1"/>
  <c r="D44" i="9"/>
  <c r="W31" i="9"/>
  <c r="M50" i="6" s="1"/>
  <c r="C24" i="9"/>
  <c r="F44" i="9"/>
  <c r="E24" i="9"/>
  <c r="H37" i="8"/>
  <c r="H38" i="8"/>
  <c r="F23" i="8"/>
  <c r="F31" i="8"/>
  <c r="F32" i="8"/>
  <c r="F27" i="8"/>
  <c r="H23" i="8"/>
  <c r="H32" i="8"/>
  <c r="H39" i="8"/>
  <c r="H21" i="8"/>
  <c r="H27" i="8"/>
  <c r="H35" i="8"/>
  <c r="E43" i="8"/>
  <c r="E44" i="8" s="1"/>
  <c r="F25" i="8"/>
  <c r="F38" i="8"/>
  <c r="F22" i="8"/>
  <c r="H25" i="8"/>
  <c r="H30" i="8"/>
  <c r="F35" i="8"/>
  <c r="F39" i="8"/>
  <c r="F21" i="8"/>
  <c r="F26" i="8"/>
  <c r="F30" i="8"/>
  <c r="F36" i="8"/>
  <c r="F24" i="8"/>
  <c r="F37" i="8"/>
  <c r="H22" i="8"/>
  <c r="H24" i="8"/>
  <c r="H26" i="8"/>
  <c r="H31" i="8"/>
  <c r="H36" i="8"/>
  <c r="C9" i="8"/>
  <c r="C11" i="8"/>
  <c r="C8" i="8"/>
  <c r="F33" i="13" l="1"/>
  <c r="V14" i="13" s="1"/>
  <c r="E37" i="13"/>
  <c r="W26" i="13"/>
  <c r="D43" i="13"/>
  <c r="W17" i="13" s="1"/>
  <c r="N56" i="6"/>
  <c r="N55" i="6"/>
  <c r="N58" i="6"/>
  <c r="D22" i="8"/>
  <c r="C16" i="8"/>
  <c r="Z16" i="8" s="1"/>
  <c r="C13" i="8"/>
  <c r="Z13" i="8" s="1"/>
  <c r="C14" i="8"/>
  <c r="Z14" i="8" s="1"/>
  <c r="D24" i="9"/>
  <c r="M34" i="6"/>
  <c r="C36" i="9"/>
  <c r="C43" i="8"/>
  <c r="D37" i="8"/>
  <c r="D39" i="8"/>
  <c r="D25" i="8"/>
  <c r="D32" i="8"/>
  <c r="D21" i="8"/>
  <c r="D23" i="8"/>
  <c r="D30" i="8"/>
  <c r="D38" i="8"/>
  <c r="D24" i="8"/>
  <c r="D31" i="8"/>
  <c r="D27" i="8"/>
  <c r="D26" i="8"/>
  <c r="D36" i="8"/>
  <c r="D35" i="8"/>
  <c r="V19" i="9"/>
  <c r="N44" i="6"/>
  <c r="W19" i="9"/>
  <c r="M44" i="6"/>
  <c r="W28" i="9"/>
  <c r="M47" i="6" s="1"/>
  <c r="N34" i="6"/>
  <c r="E36" i="9"/>
  <c r="F24" i="9"/>
  <c r="F37" i="13" l="1"/>
  <c r="V15" i="13" s="1"/>
  <c r="E43" i="13"/>
  <c r="W27" i="13"/>
  <c r="M58" i="6"/>
  <c r="M56" i="6"/>
  <c r="M55" i="6"/>
  <c r="D36" i="9"/>
  <c r="M36" i="6"/>
  <c r="C40" i="9"/>
  <c r="M37" i="6" s="1"/>
  <c r="W16" i="9"/>
  <c r="M41" i="6"/>
  <c r="C44" i="8"/>
  <c r="H41" i="8"/>
  <c r="F41" i="8"/>
  <c r="D41" i="8"/>
  <c r="V16" i="9"/>
  <c r="N41" i="6"/>
  <c r="N36" i="6"/>
  <c r="W29" i="9"/>
  <c r="M48" i="6" s="1"/>
  <c r="E40" i="9"/>
  <c r="F36" i="9"/>
  <c r="D40" i="9" l="1"/>
  <c r="M43" i="6" s="1"/>
  <c r="F43" i="13"/>
  <c r="V17" i="13" s="1"/>
  <c r="W29" i="13"/>
  <c r="D58" i="8"/>
  <c r="C46" i="9"/>
  <c r="D46" i="9" s="1"/>
  <c r="W17" i="9"/>
  <c r="M42" i="6"/>
  <c r="F43" i="8"/>
  <c r="H58" i="8"/>
  <c r="D65" i="8"/>
  <c r="H59" i="8"/>
  <c r="H63" i="8"/>
  <c r="D56" i="8"/>
  <c r="H64" i="8"/>
  <c r="F64" i="8"/>
  <c r="D59" i="8"/>
  <c r="D44" i="8"/>
  <c r="F63" i="8"/>
  <c r="D69" i="8"/>
  <c r="F58" i="8"/>
  <c r="F59" i="8"/>
  <c r="D63" i="8"/>
  <c r="D66" i="8"/>
  <c r="F44" i="8"/>
  <c r="F69" i="8"/>
  <c r="H66" i="8"/>
  <c r="F65" i="8"/>
  <c r="H65" i="8"/>
  <c r="F66" i="8"/>
  <c r="D64" i="8"/>
  <c r="D57" i="8"/>
  <c r="H57" i="8"/>
  <c r="F56" i="8"/>
  <c r="H56" i="8"/>
  <c r="F57" i="8"/>
  <c r="D43" i="8"/>
  <c r="W18" i="9"/>
  <c r="V17" i="9"/>
  <c r="N42" i="6"/>
  <c r="N37" i="6"/>
  <c r="W30" i="9"/>
  <c r="M49" i="6" s="1"/>
  <c r="F40" i="9"/>
  <c r="E46" i="9"/>
  <c r="E15" i="8" s="1"/>
  <c r="M39" i="6" l="1"/>
  <c r="C15" i="8"/>
  <c r="Y15" i="8"/>
  <c r="N57" i="6"/>
  <c r="E73" i="8"/>
  <c r="N53" i="6" s="1"/>
  <c r="F60" i="8"/>
  <c r="H60" i="8"/>
  <c r="C73" i="8"/>
  <c r="M53" i="6" s="1"/>
  <c r="D60" i="8"/>
  <c r="F67" i="8"/>
  <c r="D67" i="8"/>
  <c r="H67" i="8"/>
  <c r="W20" i="9"/>
  <c r="M45" i="6"/>
  <c r="V18" i="9"/>
  <c r="N43" i="6"/>
  <c r="W32" i="9"/>
  <c r="M51" i="6" s="1"/>
  <c r="N39" i="6"/>
  <c r="F46" i="9"/>
  <c r="Z15" i="8" l="1"/>
  <c r="M57" i="6"/>
  <c r="V20" i="9"/>
  <c r="N45" i="6"/>
  <c r="Q10" i="7"/>
  <c r="L11" i="6"/>
  <c r="L10" i="6"/>
  <c r="L9" i="6"/>
  <c r="L8" i="6"/>
  <c r="A22" i="4"/>
  <c r="E10" i="5"/>
  <c r="D10" i="5"/>
  <c r="E17" i="5"/>
  <c r="D17" i="5"/>
  <c r="C17" i="5"/>
  <c r="D19" i="5" l="1"/>
  <c r="D18" i="5"/>
  <c r="E19" i="5"/>
  <c r="E18" i="5"/>
  <c r="C20" i="5"/>
  <c r="E20" i="5"/>
  <c r="D20" i="5"/>
  <c r="D21" i="5" s="1"/>
  <c r="C19" i="5"/>
  <c r="N9" i="6" s="1"/>
  <c r="N10" i="6" l="1"/>
  <c r="C21" i="5"/>
  <c r="C22" i="5" s="1"/>
  <c r="E21" i="5"/>
  <c r="E22" i="5" s="1"/>
  <c r="N10" i="7"/>
  <c r="O10" i="7"/>
  <c r="P10" i="7"/>
  <c r="R10" i="7"/>
  <c r="S10" i="7"/>
  <c r="T10" i="7"/>
  <c r="U10" i="7"/>
  <c r="V10" i="7"/>
  <c r="W10" i="7"/>
  <c r="X10" i="7"/>
  <c r="Y10" i="7"/>
  <c r="Z10" i="7"/>
  <c r="AA10" i="7"/>
  <c r="AB10" i="7"/>
  <c r="N8" i="6" l="1"/>
  <c r="N11" i="6"/>
  <c r="B7" i="1"/>
  <c r="A3" i="7" l="1"/>
  <c r="A4" i="7"/>
  <c r="A5" i="7"/>
  <c r="B5" i="7"/>
  <c r="E5" i="7"/>
  <c r="E4" i="7"/>
  <c r="E3" i="7"/>
  <c r="A1" i="7"/>
  <c r="B1" i="7"/>
  <c r="C1" i="7"/>
  <c r="D1" i="7"/>
  <c r="E33" i="4" l="1"/>
  <c r="E32" i="4"/>
  <c r="C10" i="4"/>
  <c r="H28" i="2"/>
  <c r="H27" i="2"/>
  <c r="G20" i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G19" i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E50" i="4" l="1"/>
  <c r="E51" i="4"/>
  <c r="E52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F15" i="4"/>
  <c r="F16" i="4"/>
  <c r="A16" i="4"/>
  <c r="A15" i="4"/>
  <c r="A30" i="4" s="1"/>
  <c r="A14" i="4"/>
  <c r="A13" i="4"/>
  <c r="A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F14" i="4"/>
  <c r="F13" i="4"/>
  <c r="A20" i="4"/>
  <c r="A21" i="4"/>
  <c r="A19" i="4"/>
  <c r="E44" i="4"/>
  <c r="E45" i="4"/>
  <c r="E46" i="4"/>
  <c r="B10" i="2" l="1"/>
  <c r="O63" i="6" s="1"/>
  <c r="C17" i="2"/>
  <c r="N16" i="6" l="1"/>
  <c r="O64" i="6"/>
  <c r="O61" i="6"/>
  <c r="O60" i="6"/>
  <c r="O62" i="6"/>
  <c r="M15" i="6"/>
  <c r="G12" i="4"/>
  <c r="H12" i="4"/>
  <c r="I12" i="4"/>
  <c r="J12" i="4"/>
  <c r="K12" i="4"/>
  <c r="L12" i="4"/>
  <c r="M12" i="4"/>
  <c r="N12" i="4"/>
  <c r="O12" i="4"/>
  <c r="P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F12" i="4"/>
  <c r="F8" i="4"/>
  <c r="G10" i="4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F14" i="1"/>
  <c r="B1" i="2"/>
  <c r="G15" i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76" i="2"/>
  <c r="A82" i="2"/>
  <c r="A70" i="2"/>
  <c r="A64" i="2"/>
  <c r="A58" i="2"/>
  <c r="A52" i="2"/>
  <c r="A32" i="2"/>
  <c r="A49" i="2" s="1"/>
  <c r="A31" i="2"/>
  <c r="A48" i="2" s="1"/>
  <c r="A30" i="2"/>
  <c r="A47" i="2" s="1"/>
  <c r="A29" i="2"/>
  <c r="A46" i="2" s="1"/>
  <c r="A28" i="2"/>
  <c r="A45" i="2" s="1"/>
  <c r="A27" i="2"/>
  <c r="A44" i="2" s="1"/>
  <c r="I84" i="2"/>
  <c r="I72" i="2"/>
  <c r="I66" i="2"/>
  <c r="F41" i="1" l="1"/>
  <c r="F33" i="1"/>
  <c r="F40" i="1"/>
  <c r="F39" i="1"/>
  <c r="F32" i="1"/>
  <c r="F34" i="1"/>
  <c r="F22" i="4"/>
  <c r="F29" i="4" s="1"/>
  <c r="F21" i="4"/>
  <c r="F20" i="4"/>
  <c r="F19" i="4"/>
  <c r="F1" i="7"/>
  <c r="F2" i="7" s="1"/>
  <c r="G14" i="1"/>
  <c r="F31" i="1"/>
  <c r="F29" i="1"/>
  <c r="F30" i="1"/>
  <c r="G8" i="4"/>
  <c r="F41" i="4"/>
  <c r="F12" i="7"/>
  <c r="F43" i="4" l="1"/>
  <c r="G41" i="1"/>
  <c r="G39" i="1"/>
  <c r="G33" i="1"/>
  <c r="G40" i="1"/>
  <c r="G32" i="1"/>
  <c r="G34" i="1"/>
  <c r="G22" i="4"/>
  <c r="G29" i="4" s="1"/>
  <c r="G20" i="4"/>
  <c r="G19" i="4"/>
  <c r="G21" i="4"/>
  <c r="F23" i="4"/>
  <c r="F24" i="4" s="1"/>
  <c r="G1" i="7"/>
  <c r="G2" i="7" s="1"/>
  <c r="H14" i="1"/>
  <c r="G29" i="1"/>
  <c r="G30" i="1"/>
  <c r="G31" i="1"/>
  <c r="H8" i="4"/>
  <c r="G41" i="4"/>
  <c r="G43" i="4" l="1"/>
  <c r="H41" i="1"/>
  <c r="H39" i="1"/>
  <c r="H33" i="1"/>
  <c r="H34" i="1"/>
  <c r="H32" i="1"/>
  <c r="H40" i="1"/>
  <c r="H20" i="4"/>
  <c r="H21" i="4"/>
  <c r="H22" i="4"/>
  <c r="H19" i="4"/>
  <c r="F30" i="4"/>
  <c r="F31" i="4"/>
  <c r="G23" i="4"/>
  <c r="G24" i="4" s="1"/>
  <c r="H1" i="7"/>
  <c r="H2" i="7" s="1"/>
  <c r="I14" i="1"/>
  <c r="H29" i="1"/>
  <c r="H43" i="4" s="1"/>
  <c r="H30" i="1"/>
  <c r="H31" i="1"/>
  <c r="H29" i="4"/>
  <c r="F28" i="4"/>
  <c r="F27" i="4"/>
  <c r="I8" i="4"/>
  <c r="H41" i="4"/>
  <c r="I20" i="4" l="1"/>
  <c r="I21" i="4"/>
  <c r="I29" i="4" s="1"/>
  <c r="I22" i="4"/>
  <c r="I19" i="4"/>
  <c r="G31" i="4"/>
  <c r="G30" i="4"/>
  <c r="H23" i="4"/>
  <c r="H24" i="4" s="1"/>
  <c r="I1" i="7"/>
  <c r="I2" i="7" s="1"/>
  <c r="J14" i="1"/>
  <c r="G28" i="4"/>
  <c r="G27" i="4"/>
  <c r="F35" i="4"/>
  <c r="J8" i="4"/>
  <c r="J21" i="4" l="1"/>
  <c r="J19" i="4"/>
  <c r="J20" i="4"/>
  <c r="J22" i="4"/>
  <c r="J29" i="4" s="1"/>
  <c r="H31" i="4"/>
  <c r="H30" i="4"/>
  <c r="I23" i="4"/>
  <c r="I24" i="4" s="1"/>
  <c r="F36" i="4"/>
  <c r="F3" i="7"/>
  <c r="J1" i="7"/>
  <c r="J2" i="7" s="1"/>
  <c r="K14" i="1"/>
  <c r="H28" i="4"/>
  <c r="H27" i="4"/>
  <c r="G35" i="4"/>
  <c r="K8" i="4"/>
  <c r="K21" i="4" l="1"/>
  <c r="K22" i="4"/>
  <c r="K20" i="4"/>
  <c r="K19" i="4"/>
  <c r="I31" i="4"/>
  <c r="I30" i="4"/>
  <c r="K29" i="4"/>
  <c r="J23" i="4"/>
  <c r="J24" i="4" s="1"/>
  <c r="I28" i="4"/>
  <c r="I27" i="4"/>
  <c r="G36" i="4"/>
  <c r="G3" i="7"/>
  <c r="K1" i="7"/>
  <c r="K2" i="7" s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H35" i="4"/>
  <c r="L8" i="4"/>
  <c r="L21" i="4" l="1"/>
  <c r="L19" i="4"/>
  <c r="L22" i="4"/>
  <c r="L20" i="4"/>
  <c r="J30" i="4"/>
  <c r="J31" i="4"/>
  <c r="K23" i="4"/>
  <c r="K24" i="4" s="1"/>
  <c r="L29" i="4"/>
  <c r="H36" i="4"/>
  <c r="H3" i="7"/>
  <c r="L1" i="7"/>
  <c r="L2" i="7" s="1"/>
  <c r="J28" i="4"/>
  <c r="J27" i="4"/>
  <c r="I35" i="4"/>
  <c r="M8" i="4"/>
  <c r="M19" i="4" l="1"/>
  <c r="M22" i="4"/>
  <c r="M20" i="4"/>
  <c r="M21" i="4"/>
  <c r="K31" i="4"/>
  <c r="K30" i="4"/>
  <c r="M29" i="4"/>
  <c r="L23" i="4"/>
  <c r="L24" i="4" s="1"/>
  <c r="I36" i="4"/>
  <c r="I3" i="7"/>
  <c r="M1" i="7"/>
  <c r="M2" i="7" s="1"/>
  <c r="K28" i="4"/>
  <c r="K27" i="4"/>
  <c r="J35" i="4"/>
  <c r="N8" i="4"/>
  <c r="N19" i="4" l="1"/>
  <c r="N22" i="4"/>
  <c r="N20" i="4"/>
  <c r="N21" i="4"/>
  <c r="L31" i="4"/>
  <c r="L30" i="4"/>
  <c r="N29" i="4"/>
  <c r="M23" i="4"/>
  <c r="M24" i="4" s="1"/>
  <c r="J36" i="4"/>
  <c r="J3" i="7"/>
  <c r="N1" i="7"/>
  <c r="N2" i="7" s="1"/>
  <c r="L28" i="4"/>
  <c r="L27" i="4"/>
  <c r="K35" i="4"/>
  <c r="O8" i="4"/>
  <c r="O22" i="4" l="1"/>
  <c r="O20" i="4"/>
  <c r="O21" i="4"/>
  <c r="O19" i="4"/>
  <c r="M30" i="4"/>
  <c r="M31" i="4"/>
  <c r="O29" i="4"/>
  <c r="N23" i="4"/>
  <c r="N24" i="4" s="1"/>
  <c r="K36" i="4"/>
  <c r="K3" i="7"/>
  <c r="O1" i="7"/>
  <c r="O2" i="7" s="1"/>
  <c r="M28" i="4"/>
  <c r="M27" i="4"/>
  <c r="L35" i="4"/>
  <c r="P8" i="4"/>
  <c r="P20" i="4" l="1"/>
  <c r="P19" i="4"/>
  <c r="P21" i="4"/>
  <c r="P22" i="4"/>
  <c r="N30" i="4"/>
  <c r="N31" i="4"/>
  <c r="O23" i="4"/>
  <c r="O24" i="4" s="1"/>
  <c r="P29" i="4"/>
  <c r="L36" i="4"/>
  <c r="L3" i="7"/>
  <c r="P1" i="7"/>
  <c r="P2" i="7" s="1"/>
  <c r="N28" i="4"/>
  <c r="N27" i="4"/>
  <c r="M35" i="4"/>
  <c r="Q8" i="4"/>
  <c r="Q20" i="4" l="1"/>
  <c r="Q21" i="4"/>
  <c r="Q19" i="4"/>
  <c r="Q22" i="4"/>
  <c r="O31" i="4"/>
  <c r="O30" i="4"/>
  <c r="P23" i="4"/>
  <c r="P24" i="4" s="1"/>
  <c r="Q29" i="4"/>
  <c r="M36" i="4"/>
  <c r="M3" i="7"/>
  <c r="Q1" i="7"/>
  <c r="Q2" i="7" s="1"/>
  <c r="O28" i="4"/>
  <c r="O27" i="4"/>
  <c r="N35" i="4"/>
  <c r="R8" i="4"/>
  <c r="R21" i="4" l="1"/>
  <c r="R20" i="4"/>
  <c r="R19" i="4"/>
  <c r="R22" i="4"/>
  <c r="P31" i="4"/>
  <c r="P30" i="4"/>
  <c r="Q23" i="4"/>
  <c r="Q24" i="4" s="1"/>
  <c r="R29" i="4"/>
  <c r="N36" i="4"/>
  <c r="N3" i="7"/>
  <c r="R1" i="7"/>
  <c r="R2" i="7" s="1"/>
  <c r="P28" i="4"/>
  <c r="P27" i="4"/>
  <c r="O35" i="4"/>
  <c r="S8" i="4"/>
  <c r="S21" i="4" l="1"/>
  <c r="S22" i="4"/>
  <c r="S20" i="4"/>
  <c r="S19" i="4"/>
  <c r="Q30" i="4"/>
  <c r="Q31" i="4"/>
  <c r="R23" i="4"/>
  <c r="R24" i="4" s="1"/>
  <c r="S29" i="4"/>
  <c r="O36" i="4"/>
  <c r="O3" i="7"/>
  <c r="S1" i="7"/>
  <c r="S2" i="7" s="1"/>
  <c r="Q28" i="4"/>
  <c r="Q27" i="4"/>
  <c r="P35" i="4"/>
  <c r="T8" i="4"/>
  <c r="T21" i="4" l="1"/>
  <c r="T19" i="4"/>
  <c r="T22" i="4"/>
  <c r="T20" i="4"/>
  <c r="R30" i="4"/>
  <c r="R31" i="4"/>
  <c r="T29" i="4"/>
  <c r="S23" i="4"/>
  <c r="S24" i="4" s="1"/>
  <c r="P36" i="4"/>
  <c r="P3" i="7"/>
  <c r="T1" i="7"/>
  <c r="T2" i="7" s="1"/>
  <c r="R28" i="4"/>
  <c r="R27" i="4"/>
  <c r="Q35" i="4"/>
  <c r="U8" i="4"/>
  <c r="U19" i="4" l="1"/>
  <c r="U22" i="4"/>
  <c r="U20" i="4"/>
  <c r="U21" i="4"/>
  <c r="S31" i="4"/>
  <c r="S30" i="4"/>
  <c r="U29" i="4"/>
  <c r="T23" i="4"/>
  <c r="T24" i="4" s="1"/>
  <c r="Q36" i="4"/>
  <c r="Q3" i="7"/>
  <c r="U1" i="7"/>
  <c r="U2" i="7" s="1"/>
  <c r="S28" i="4"/>
  <c r="S27" i="4"/>
  <c r="R35" i="4"/>
  <c r="V8" i="4"/>
  <c r="V19" i="4" l="1"/>
  <c r="V22" i="4"/>
  <c r="V20" i="4"/>
  <c r="V21" i="4"/>
  <c r="T31" i="4"/>
  <c r="T30" i="4"/>
  <c r="U23" i="4"/>
  <c r="U24" i="4" s="1"/>
  <c r="V29" i="4"/>
  <c r="R36" i="4"/>
  <c r="R3" i="7"/>
  <c r="V1" i="7"/>
  <c r="V2" i="7" s="1"/>
  <c r="T28" i="4"/>
  <c r="T27" i="4"/>
  <c r="S35" i="4"/>
  <c r="W8" i="4"/>
  <c r="W22" i="4" l="1"/>
  <c r="W20" i="4"/>
  <c r="W21" i="4"/>
  <c r="W19" i="4"/>
  <c r="U30" i="4"/>
  <c r="U31" i="4"/>
  <c r="W29" i="4"/>
  <c r="V23" i="4"/>
  <c r="V24" i="4" s="1"/>
  <c r="S36" i="4"/>
  <c r="S3" i="7"/>
  <c r="W1" i="7"/>
  <c r="W2" i="7" s="1"/>
  <c r="U28" i="4"/>
  <c r="U27" i="4"/>
  <c r="T35" i="4"/>
  <c r="X8" i="4"/>
  <c r="X20" i="4" l="1"/>
  <c r="X21" i="4"/>
  <c r="X19" i="4"/>
  <c r="X22" i="4"/>
  <c r="V30" i="4"/>
  <c r="V31" i="4"/>
  <c r="W23" i="4"/>
  <c r="W24" i="4" s="1"/>
  <c r="X29" i="4"/>
  <c r="T36" i="4"/>
  <c r="T3" i="7"/>
  <c r="X1" i="7"/>
  <c r="X2" i="7" s="1"/>
  <c r="V28" i="4"/>
  <c r="V27" i="4"/>
  <c r="U35" i="4"/>
  <c r="Y8" i="4"/>
  <c r="Y20" i="4" l="1"/>
  <c r="Y21" i="4"/>
  <c r="Y22" i="4"/>
  <c r="Y19" i="4"/>
  <c r="W31" i="4"/>
  <c r="W30" i="4"/>
  <c r="Y29" i="4"/>
  <c r="X23" i="4"/>
  <c r="X24" i="4" s="1"/>
  <c r="U36" i="4"/>
  <c r="U3" i="7"/>
  <c r="Y1" i="7"/>
  <c r="Y2" i="7" s="1"/>
  <c r="W28" i="4"/>
  <c r="W27" i="4"/>
  <c r="V35" i="4"/>
  <c r="Z8" i="4"/>
  <c r="Z21" i="4" l="1"/>
  <c r="Z22" i="4"/>
  <c r="Z19" i="4"/>
  <c r="Z20" i="4"/>
  <c r="X31" i="4"/>
  <c r="X30" i="4"/>
  <c r="Y23" i="4"/>
  <c r="Y24" i="4" s="1"/>
  <c r="Z29" i="4"/>
  <c r="V36" i="4"/>
  <c r="V3" i="7"/>
  <c r="Z1" i="7"/>
  <c r="Z2" i="7" s="1"/>
  <c r="X28" i="4"/>
  <c r="X27" i="4"/>
  <c r="W35" i="4"/>
  <c r="AA8" i="4"/>
  <c r="AA21" i="4" l="1"/>
  <c r="AA22" i="4"/>
  <c r="AA19" i="4"/>
  <c r="AA20" i="4"/>
  <c r="Y30" i="4"/>
  <c r="Y31" i="4"/>
  <c r="AA29" i="4"/>
  <c r="Z23" i="4"/>
  <c r="Z24" i="4" s="1"/>
  <c r="W36" i="4"/>
  <c r="W3" i="7"/>
  <c r="AA1" i="7"/>
  <c r="AA2" i="7" s="1"/>
  <c r="Y28" i="4"/>
  <c r="Y27" i="4"/>
  <c r="X35" i="4"/>
  <c r="AB8" i="4"/>
  <c r="AB21" i="4" l="1"/>
  <c r="AB19" i="4"/>
  <c r="AB22" i="4"/>
  <c r="AB20" i="4"/>
  <c r="Z30" i="4"/>
  <c r="Z31" i="4"/>
  <c r="AA23" i="4"/>
  <c r="AA24" i="4" s="1"/>
  <c r="AB29" i="4"/>
  <c r="X36" i="4"/>
  <c r="X3" i="7"/>
  <c r="AB1" i="7"/>
  <c r="AB2" i="7" s="1"/>
  <c r="Z28" i="4"/>
  <c r="Z27" i="4"/>
  <c r="Y35" i="4"/>
  <c r="AC8" i="4"/>
  <c r="AC19" i="4" l="1"/>
  <c r="AC22" i="4"/>
  <c r="AC20" i="4"/>
  <c r="AC21" i="4"/>
  <c r="AA31" i="4"/>
  <c r="AA30" i="4"/>
  <c r="AB23" i="4"/>
  <c r="AB24" i="4" s="1"/>
  <c r="AC29" i="4"/>
  <c r="Y36" i="4"/>
  <c r="Y3" i="7"/>
  <c r="AC1" i="7"/>
  <c r="AC2" i="7" s="1"/>
  <c r="AA28" i="4"/>
  <c r="AA27" i="4"/>
  <c r="Z35" i="4"/>
  <c r="AD8" i="4"/>
  <c r="AD19" i="4" l="1"/>
  <c r="AD22" i="4"/>
  <c r="AD20" i="4"/>
  <c r="AD21" i="4"/>
  <c r="AB31" i="4"/>
  <c r="AB30" i="4"/>
  <c r="AD29" i="4"/>
  <c r="AC23" i="4"/>
  <c r="AC24" i="4" s="1"/>
  <c r="AD1" i="7"/>
  <c r="AD2" i="7" s="1"/>
  <c r="Z36" i="4"/>
  <c r="Z3" i="7"/>
  <c r="AB28" i="4"/>
  <c r="AB27" i="4"/>
  <c r="AA35" i="4"/>
  <c r="AE8" i="4"/>
  <c r="AE22" i="4" l="1"/>
  <c r="AE20" i="4"/>
  <c r="AE21" i="4"/>
  <c r="AE19" i="4"/>
  <c r="AC30" i="4"/>
  <c r="AC31" i="4"/>
  <c r="AD23" i="4"/>
  <c r="AD24" i="4" s="1"/>
  <c r="AE29" i="4"/>
  <c r="AE1" i="7"/>
  <c r="AE2" i="7" s="1"/>
  <c r="AA36" i="4"/>
  <c r="AA3" i="7"/>
  <c r="AC28" i="4"/>
  <c r="AC27" i="4"/>
  <c r="AB35" i="4"/>
  <c r="AF8" i="4"/>
  <c r="AF22" i="4" l="1"/>
  <c r="AF20" i="4"/>
  <c r="AF19" i="4"/>
  <c r="AF21" i="4"/>
  <c r="AD30" i="4"/>
  <c r="AD31" i="4"/>
  <c r="AE23" i="4"/>
  <c r="AE24" i="4" s="1"/>
  <c r="AF29" i="4"/>
  <c r="AF1" i="7"/>
  <c r="AF2" i="7" s="1"/>
  <c r="AB36" i="4"/>
  <c r="AB3" i="7"/>
  <c r="AD28" i="4"/>
  <c r="AD27" i="4"/>
  <c r="AC35" i="4"/>
  <c r="AC36" i="4" s="1"/>
  <c r="AG8" i="4"/>
  <c r="AG20" i="4" l="1"/>
  <c r="AG21" i="4"/>
  <c r="AG22" i="4"/>
  <c r="AG19" i="4"/>
  <c r="AE31" i="4"/>
  <c r="AE30" i="4"/>
  <c r="AF23" i="4"/>
  <c r="AF24" i="4" s="1"/>
  <c r="AG29" i="4"/>
  <c r="AG1" i="7"/>
  <c r="AG2" i="7" s="1"/>
  <c r="AC3" i="7"/>
  <c r="AE28" i="4"/>
  <c r="AE27" i="4"/>
  <c r="AD35" i="4"/>
  <c r="AD36" i="4" s="1"/>
  <c r="AH8" i="4"/>
  <c r="AH21" i="4" l="1"/>
  <c r="AH22" i="4"/>
  <c r="AH20" i="4"/>
  <c r="AH19" i="4"/>
  <c r="AF31" i="4"/>
  <c r="AF30" i="4"/>
  <c r="AG23" i="4"/>
  <c r="AG24" i="4" s="1"/>
  <c r="AH63" i="4"/>
  <c r="AH29" i="4"/>
  <c r="AD3" i="7"/>
  <c r="AH1" i="7"/>
  <c r="AH2" i="7" s="1"/>
  <c r="AH57" i="4"/>
  <c r="AH54" i="4"/>
  <c r="AH36" i="4"/>
  <c r="AF28" i="4"/>
  <c r="AF27" i="4"/>
  <c r="AE35" i="4"/>
  <c r="AE36" i="4" s="1"/>
  <c r="AI8" i="4"/>
  <c r="AH41" i="4"/>
  <c r="AI21" i="4" l="1"/>
  <c r="AI22" i="4"/>
  <c r="AI29" i="4" s="1"/>
  <c r="E29" i="4" s="1"/>
  <c r="AI19" i="4"/>
  <c r="AI20" i="4"/>
  <c r="AG30" i="4"/>
  <c r="AG31" i="4"/>
  <c r="AI63" i="4"/>
  <c r="AH23" i="4"/>
  <c r="AH24" i="4" s="1"/>
  <c r="AE3" i="7"/>
  <c r="AI1" i="7"/>
  <c r="AI2" i="7" s="1"/>
  <c r="AI57" i="4"/>
  <c r="AI54" i="4"/>
  <c r="AI36" i="4"/>
  <c r="AG28" i="4"/>
  <c r="AG27" i="4"/>
  <c r="AF35" i="4"/>
  <c r="AF36" i="4" s="1"/>
  <c r="AI41" i="4"/>
  <c r="AH30" i="4" l="1"/>
  <c r="AH31" i="4"/>
  <c r="AI23" i="4"/>
  <c r="AI24" i="4" s="1"/>
  <c r="C23" i="4" s="1"/>
  <c r="AF3" i="7"/>
  <c r="AH28" i="4"/>
  <c r="AH27" i="4"/>
  <c r="AG35" i="4"/>
  <c r="AG36" i="4" s="1"/>
  <c r="C35" i="4" s="1"/>
  <c r="C65" i="4" l="1"/>
  <c r="B3" i="7"/>
  <c r="N19" i="6"/>
  <c r="AI31" i="4"/>
  <c r="E31" i="4" s="1"/>
  <c r="AI30" i="4"/>
  <c r="E30" i="4" s="1"/>
  <c r="AG3" i="7"/>
  <c r="E34" i="4"/>
  <c r="AI28" i="4"/>
  <c r="E28" i="4" s="1"/>
  <c r="AI27" i="4"/>
  <c r="AH35" i="4"/>
  <c r="AH3" i="7" l="1"/>
  <c r="E27" i="4"/>
  <c r="E35" i="4" s="1"/>
  <c r="D3" i="7" s="1"/>
  <c r="AI35" i="4"/>
  <c r="AI3" i="7" l="1"/>
  <c r="D35" i="4"/>
  <c r="C3" i="7" s="1"/>
  <c r="J39" i="2" l="1"/>
  <c r="K39" i="2"/>
  <c r="L39" i="2"/>
  <c r="M39" i="2"/>
  <c r="N39" i="2"/>
  <c r="O39" i="2"/>
  <c r="P39" i="2"/>
  <c r="AF39" i="2"/>
  <c r="AG39" i="2"/>
  <c r="AH39" i="2"/>
  <c r="AI39" i="2"/>
  <c r="AJ39" i="2"/>
  <c r="AK39" i="2"/>
  <c r="AL39" i="2"/>
  <c r="I38" i="2" l="1"/>
  <c r="N33" i="3"/>
  <c r="N28" i="3"/>
  <c r="I39" i="3" s="1"/>
  <c r="I5" i="3"/>
  <c r="I1" i="3"/>
  <c r="D14" i="3"/>
  <c r="D5" i="3"/>
  <c r="M34" i="2"/>
  <c r="M41" i="2" s="1"/>
  <c r="N34" i="2"/>
  <c r="N41" i="2" s="1"/>
  <c r="O34" i="2"/>
  <c r="O41" i="2" s="1"/>
  <c r="P34" i="2"/>
  <c r="P41" i="2" s="1"/>
  <c r="AF34" i="2"/>
  <c r="AF41" i="2" s="1"/>
  <c r="AG34" i="2"/>
  <c r="AG41" i="2" s="1"/>
  <c r="AH34" i="2"/>
  <c r="AH41" i="2" s="1"/>
  <c r="AI34" i="2"/>
  <c r="AI41" i="2" s="1"/>
  <c r="AJ34" i="2"/>
  <c r="AJ41" i="2" s="1"/>
  <c r="AK34" i="2"/>
  <c r="AK41" i="2" s="1"/>
  <c r="AL34" i="2"/>
  <c r="AL41" i="2" s="1"/>
  <c r="L34" i="2"/>
  <c r="L41" i="2" s="1"/>
  <c r="J33" i="2"/>
  <c r="J40" i="2" s="1"/>
  <c r="K33" i="2"/>
  <c r="K40" i="2" s="1"/>
  <c r="L33" i="2"/>
  <c r="L40" i="2" s="1"/>
  <c r="M33" i="2"/>
  <c r="M40" i="2" s="1"/>
  <c r="N33" i="2"/>
  <c r="N40" i="2" s="1"/>
  <c r="O33" i="2"/>
  <c r="O40" i="2" s="1"/>
  <c r="P33" i="2"/>
  <c r="P40" i="2" s="1"/>
  <c r="AF33" i="2"/>
  <c r="AF40" i="2" s="1"/>
  <c r="AG33" i="2"/>
  <c r="AG40" i="2" s="1"/>
  <c r="AH33" i="2"/>
  <c r="AH40" i="2" s="1"/>
  <c r="AI33" i="2"/>
  <c r="AI40" i="2" s="1"/>
  <c r="AJ33" i="2"/>
  <c r="AJ40" i="2" s="1"/>
  <c r="AK33" i="2"/>
  <c r="AK40" i="2" s="1"/>
  <c r="AL33" i="2"/>
  <c r="AL40" i="2" s="1"/>
  <c r="I34" i="2"/>
  <c r="I41" i="2" s="1"/>
  <c r="I38" i="3" l="1"/>
  <c r="N5" i="6" s="1"/>
  <c r="N40" i="3"/>
  <c r="H25" i="2" s="1"/>
  <c r="I40" i="3"/>
  <c r="AC6" i="7"/>
  <c r="AC10" i="7"/>
  <c r="J6" i="7"/>
  <c r="J10" i="7"/>
  <c r="AF6" i="7"/>
  <c r="AF10" i="7"/>
  <c r="M6" i="7"/>
  <c r="M10" i="7"/>
  <c r="I6" i="7"/>
  <c r="I10" i="7"/>
  <c r="AI6" i="7"/>
  <c r="AI10" i="7"/>
  <c r="AE6" i="7"/>
  <c r="AE10" i="7"/>
  <c r="L6" i="7"/>
  <c r="L10" i="7"/>
  <c r="H10" i="7"/>
  <c r="H6" i="7"/>
  <c r="AH6" i="7"/>
  <c r="AH10" i="7"/>
  <c r="AD6" i="7"/>
  <c r="AD10" i="7"/>
  <c r="K6" i="7"/>
  <c r="K10" i="7"/>
  <c r="AG6" i="7"/>
  <c r="AG10" i="7"/>
  <c r="G10" i="7"/>
  <c r="G17" i="7" s="1"/>
  <c r="G18" i="7" s="1"/>
  <c r="G6" i="7"/>
  <c r="H17" i="7"/>
  <c r="H18" i="7" s="1"/>
  <c r="N6" i="6"/>
  <c r="L35" i="2"/>
  <c r="I67" i="4" s="1"/>
  <c r="I70" i="4" s="1"/>
  <c r="AI35" i="2"/>
  <c r="AF67" i="4" s="1"/>
  <c r="AF70" i="4" s="1"/>
  <c r="AB67" i="4"/>
  <c r="AB70" i="4" s="1"/>
  <c r="X67" i="4"/>
  <c r="X70" i="4" s="1"/>
  <c r="P67" i="4"/>
  <c r="P70" i="4" s="1"/>
  <c r="O35" i="2"/>
  <c r="L67" i="4" s="1"/>
  <c r="L70" i="4" s="1"/>
  <c r="AL35" i="2"/>
  <c r="AI67" i="4" s="1"/>
  <c r="AI70" i="4" s="1"/>
  <c r="AH35" i="2"/>
  <c r="AE67" i="4" s="1"/>
  <c r="AE70" i="4" s="1"/>
  <c r="AA67" i="4"/>
  <c r="AA70" i="4" s="1"/>
  <c r="W67" i="4"/>
  <c r="S67" i="4"/>
  <c r="S70" i="4" s="1"/>
  <c r="O67" i="4"/>
  <c r="O70" i="4" s="1"/>
  <c r="N35" i="2"/>
  <c r="K67" i="4" s="1"/>
  <c r="K70" i="4" s="1"/>
  <c r="AK35" i="2"/>
  <c r="AH67" i="4" s="1"/>
  <c r="AH70" i="4" s="1"/>
  <c r="AG35" i="2"/>
  <c r="AD67" i="4" s="1"/>
  <c r="AD70" i="4" s="1"/>
  <c r="Z67" i="4"/>
  <c r="Z70" i="4" s="1"/>
  <c r="V67" i="4"/>
  <c r="R67" i="4"/>
  <c r="R70" i="4" s="1"/>
  <c r="N67" i="4"/>
  <c r="N70" i="4" s="1"/>
  <c r="M35" i="2"/>
  <c r="J67" i="4" s="1"/>
  <c r="J70" i="4" s="1"/>
  <c r="AJ35" i="2"/>
  <c r="AG67" i="4" s="1"/>
  <c r="AG70" i="4" s="1"/>
  <c r="AF35" i="2"/>
  <c r="Y67" i="4"/>
  <c r="Y70" i="4" s="1"/>
  <c r="U67" i="4"/>
  <c r="P35" i="2"/>
  <c r="M67" i="4" s="1"/>
  <c r="M70" i="4" s="1"/>
  <c r="J34" i="2"/>
  <c r="J41" i="2" s="1"/>
  <c r="J24" i="2"/>
  <c r="I23" i="2"/>
  <c r="I43" i="2" s="1"/>
  <c r="I51" i="2" s="1"/>
  <c r="E40" i="1" l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E34" i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E32" i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E33" i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E39" i="1"/>
  <c r="I39" i="1" s="1"/>
  <c r="J39" i="1" s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E41" i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I44" i="2"/>
  <c r="I46" i="2"/>
  <c r="I48" i="2"/>
  <c r="I45" i="2"/>
  <c r="I47" i="2"/>
  <c r="I49" i="2"/>
  <c r="I86" i="2" s="1"/>
  <c r="O41" i="4"/>
  <c r="AC41" i="4"/>
  <c r="AD41" i="4"/>
  <c r="AE41" i="4"/>
  <c r="AF41" i="4"/>
  <c r="AG41" i="4"/>
  <c r="AC67" i="4"/>
  <c r="AC70" i="4" s="1"/>
  <c r="T67" i="4"/>
  <c r="T70" i="4" s="1"/>
  <c r="U70" i="4" s="1"/>
  <c r="V70" i="4" s="1"/>
  <c r="W70" i="4" s="1"/>
  <c r="J35" i="2"/>
  <c r="G67" i="4" s="1"/>
  <c r="V41" i="4"/>
  <c r="E36" i="1"/>
  <c r="F36" i="1" s="1"/>
  <c r="N4" i="6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E30" i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E29" i="1"/>
  <c r="I29" i="1" s="1"/>
  <c r="E31" i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A41" i="4"/>
  <c r="U41" i="4"/>
  <c r="M41" i="4"/>
  <c r="Z41" i="4"/>
  <c r="R41" i="4"/>
  <c r="K41" i="4"/>
  <c r="B2" i="2"/>
  <c r="N3" i="6"/>
  <c r="W41" i="4"/>
  <c r="Q41" i="4"/>
  <c r="J41" i="4"/>
  <c r="I37" i="3"/>
  <c r="Y41" i="4"/>
  <c r="S41" i="4"/>
  <c r="N41" i="4"/>
  <c r="I41" i="4"/>
  <c r="AB41" i="4"/>
  <c r="X41" i="4"/>
  <c r="T41" i="4"/>
  <c r="P41" i="4"/>
  <c r="L41" i="4"/>
  <c r="J23" i="2"/>
  <c r="J43" i="2" s="1"/>
  <c r="J51" i="2" s="1"/>
  <c r="I37" i="2"/>
  <c r="K24" i="2"/>
  <c r="J38" i="2"/>
  <c r="K34" i="2"/>
  <c r="K41" i="2" s="1"/>
  <c r="H41" i="2" s="1"/>
  <c r="B26" i="2"/>
  <c r="G36" i="1" l="1"/>
  <c r="G42" i="4" s="1"/>
  <c r="F42" i="4"/>
  <c r="J29" i="1"/>
  <c r="I43" i="4"/>
  <c r="I85" i="2"/>
  <c r="I87" i="2" s="1"/>
  <c r="I83" i="2" s="1"/>
  <c r="I74" i="2"/>
  <c r="I73" i="2"/>
  <c r="I56" i="2"/>
  <c r="I55" i="2"/>
  <c r="I61" i="2"/>
  <c r="I62" i="2"/>
  <c r="J49" i="2"/>
  <c r="J86" i="2" s="1"/>
  <c r="J45" i="2"/>
  <c r="J46" i="2"/>
  <c r="J48" i="2"/>
  <c r="J47" i="2"/>
  <c r="J44" i="2"/>
  <c r="I79" i="2"/>
  <c r="I80" i="2"/>
  <c r="I68" i="2"/>
  <c r="I67" i="2"/>
  <c r="B16" i="2"/>
  <c r="B12" i="2"/>
  <c r="B28" i="2" s="1"/>
  <c r="C28" i="2" s="1"/>
  <c r="B15" i="2"/>
  <c r="K35" i="2"/>
  <c r="H67" i="4" s="1"/>
  <c r="B13" i="2"/>
  <c r="B29" i="2" s="1"/>
  <c r="C29" i="2" s="1"/>
  <c r="C7" i="2"/>
  <c r="B11" i="2"/>
  <c r="B27" i="2" s="1"/>
  <c r="C27" i="2" s="1"/>
  <c r="C9" i="2"/>
  <c r="C8" i="2"/>
  <c r="C6" i="2"/>
  <c r="C5" i="2"/>
  <c r="B14" i="2"/>
  <c r="B30" i="2" s="1"/>
  <c r="C30" i="2" s="1"/>
  <c r="E41" i="4"/>
  <c r="H36" i="1"/>
  <c r="H42" i="4" s="1"/>
  <c r="L24" i="2"/>
  <c r="K38" i="2"/>
  <c r="K23" i="2"/>
  <c r="K43" i="2" s="1"/>
  <c r="K51" i="2" s="1"/>
  <c r="J37" i="2"/>
  <c r="H34" i="2"/>
  <c r="C26" i="2"/>
  <c r="K29" i="1" l="1"/>
  <c r="J43" i="4"/>
  <c r="I89" i="2"/>
  <c r="J84" i="2"/>
  <c r="J85" i="2"/>
  <c r="J87" i="2" s="1"/>
  <c r="I69" i="2"/>
  <c r="I65" i="2" s="1"/>
  <c r="I81" i="2"/>
  <c r="J78" i="2" s="1"/>
  <c r="I63" i="2"/>
  <c r="J60" i="2" s="1"/>
  <c r="I75" i="2"/>
  <c r="J72" i="2" s="1"/>
  <c r="K46" i="2"/>
  <c r="K49" i="2"/>
  <c r="K47" i="2"/>
  <c r="K45" i="2"/>
  <c r="K48" i="2"/>
  <c r="K44" i="2"/>
  <c r="J55" i="2"/>
  <c r="J56" i="2"/>
  <c r="J62" i="2"/>
  <c r="J61" i="2"/>
  <c r="J80" i="2"/>
  <c r="J79" i="2"/>
  <c r="C10" i="2"/>
  <c r="B17" i="2"/>
  <c r="C19" i="2"/>
  <c r="C20" i="2" s="1"/>
  <c r="I36" i="1"/>
  <c r="I42" i="4" s="1"/>
  <c r="L23" i="2"/>
  <c r="L43" i="2" s="1"/>
  <c r="L51" i="2" s="1"/>
  <c r="K37" i="2"/>
  <c r="M24" i="2"/>
  <c r="L38" i="2"/>
  <c r="I26" i="2"/>
  <c r="L29" i="1" l="1"/>
  <c r="K43" i="4"/>
  <c r="J66" i="2"/>
  <c r="J68" i="2" s="1"/>
  <c r="I77" i="2"/>
  <c r="J83" i="2"/>
  <c r="I71" i="2"/>
  <c r="J81" i="2"/>
  <c r="K78" i="2" s="1"/>
  <c r="K84" i="2"/>
  <c r="K86" i="2" s="1"/>
  <c r="J63" i="2"/>
  <c r="K60" i="2" s="1"/>
  <c r="K79" i="2"/>
  <c r="K80" i="2"/>
  <c r="K61" i="2"/>
  <c r="K62" i="2"/>
  <c r="L47" i="2"/>
  <c r="L45" i="2"/>
  <c r="L44" i="2"/>
  <c r="L48" i="2"/>
  <c r="L46" i="2"/>
  <c r="L49" i="2"/>
  <c r="K55" i="2"/>
  <c r="K56" i="2"/>
  <c r="J74" i="2"/>
  <c r="J73" i="2"/>
  <c r="J67" i="2"/>
  <c r="C18" i="2"/>
  <c r="N15" i="6"/>
  <c r="M16" i="6"/>
  <c r="B18" i="2"/>
  <c r="E10" i="2"/>
  <c r="B19" i="2"/>
  <c r="B20" i="2" s="1"/>
  <c r="B21" i="2" s="1"/>
  <c r="N17" i="6"/>
  <c r="J36" i="1"/>
  <c r="J42" i="4" s="1"/>
  <c r="I39" i="2"/>
  <c r="H39" i="2" s="1"/>
  <c r="N24" i="2"/>
  <c r="M38" i="2"/>
  <c r="M23" i="2"/>
  <c r="M43" i="2" s="1"/>
  <c r="M51" i="2" s="1"/>
  <c r="L37" i="2"/>
  <c r="M29" i="1" l="1"/>
  <c r="L43" i="4"/>
  <c r="J89" i="2"/>
  <c r="K63" i="2"/>
  <c r="L60" i="2" s="1"/>
  <c r="K85" i="2"/>
  <c r="K87" i="2" s="1"/>
  <c r="K83" i="2" s="1"/>
  <c r="J77" i="2"/>
  <c r="K81" i="2"/>
  <c r="L78" i="2" s="1"/>
  <c r="L80" i="2" s="1"/>
  <c r="J75" i="2"/>
  <c r="K72" i="2" s="1"/>
  <c r="K73" i="2" s="1"/>
  <c r="M47" i="2"/>
  <c r="M49" i="2"/>
  <c r="M44" i="2"/>
  <c r="M45" i="2"/>
  <c r="M46" i="2"/>
  <c r="M48" i="2"/>
  <c r="L56" i="2"/>
  <c r="L55" i="2"/>
  <c r="L61" i="2"/>
  <c r="L62" i="2"/>
  <c r="J69" i="2"/>
  <c r="B34" i="2"/>
  <c r="C34" i="2" s="1"/>
  <c r="K36" i="1"/>
  <c r="K42" i="4" s="1"/>
  <c r="N23" i="2"/>
  <c r="N43" i="2" s="1"/>
  <c r="N51" i="2" s="1"/>
  <c r="M37" i="2"/>
  <c r="O24" i="2"/>
  <c r="N38" i="2"/>
  <c r="N29" i="1" l="1"/>
  <c r="M43" i="4"/>
  <c r="L63" i="2"/>
  <c r="L79" i="2"/>
  <c r="L81" i="2" s="1"/>
  <c r="K77" i="2"/>
  <c r="M60" i="2"/>
  <c r="M61" i="2" s="1"/>
  <c r="K74" i="2"/>
  <c r="K75" i="2" s="1"/>
  <c r="L84" i="2"/>
  <c r="L85" i="2" s="1"/>
  <c r="J71" i="2"/>
  <c r="N47" i="2"/>
  <c r="N49" i="2"/>
  <c r="N44" i="2"/>
  <c r="N45" i="2"/>
  <c r="N46" i="2"/>
  <c r="N48" i="2"/>
  <c r="J65" i="2"/>
  <c r="K66" i="2"/>
  <c r="L36" i="1"/>
  <c r="L42" i="4" s="1"/>
  <c r="P24" i="2"/>
  <c r="Q24" i="2" s="1"/>
  <c r="O38" i="2"/>
  <c r="O23" i="2"/>
  <c r="O43" i="2" s="1"/>
  <c r="O51" i="2" s="1"/>
  <c r="N37" i="2"/>
  <c r="O29" i="1" l="1"/>
  <c r="N43" i="4"/>
  <c r="M78" i="2"/>
  <c r="M80" i="2" s="1"/>
  <c r="L77" i="2"/>
  <c r="M62" i="2"/>
  <c r="M63" i="2" s="1"/>
  <c r="N60" i="2" s="1"/>
  <c r="L86" i="2"/>
  <c r="L87" i="2" s="1"/>
  <c r="L83" i="2" s="1"/>
  <c r="O44" i="2"/>
  <c r="O45" i="2"/>
  <c r="O48" i="2"/>
  <c r="O46" i="2"/>
  <c r="O49" i="2"/>
  <c r="O47" i="2"/>
  <c r="K67" i="2"/>
  <c r="K68" i="2"/>
  <c r="K89" i="2" s="1"/>
  <c r="L72" i="2"/>
  <c r="K71" i="2"/>
  <c r="R24" i="2"/>
  <c r="Q38" i="2"/>
  <c r="M36" i="1"/>
  <c r="M42" i="4" s="1"/>
  <c r="P23" i="2"/>
  <c r="P43" i="2" s="1"/>
  <c r="P51" i="2" s="1"/>
  <c r="O37" i="2"/>
  <c r="P38" i="2"/>
  <c r="M79" i="2" l="1"/>
  <c r="M81" i="2" s="1"/>
  <c r="N78" i="2" s="1"/>
  <c r="N80" i="2" s="1"/>
  <c r="P29" i="1"/>
  <c r="O43" i="4"/>
  <c r="M84" i="2"/>
  <c r="M86" i="2" s="1"/>
  <c r="P49" i="2"/>
  <c r="P44" i="2"/>
  <c r="P46" i="2"/>
  <c r="P48" i="2"/>
  <c r="P47" i="2"/>
  <c r="P45" i="2"/>
  <c r="M85" i="2"/>
  <c r="L73" i="2"/>
  <c r="L74" i="2"/>
  <c r="K69" i="2"/>
  <c r="N62" i="2"/>
  <c r="N61" i="2"/>
  <c r="Q23" i="2"/>
  <c r="Q43" i="2" s="1"/>
  <c r="Q51" i="2" s="1"/>
  <c r="R38" i="2"/>
  <c r="S24" i="2"/>
  <c r="N36" i="1"/>
  <c r="N42" i="4" s="1"/>
  <c r="M77" i="2"/>
  <c r="P37" i="2"/>
  <c r="N79" i="2" l="1"/>
  <c r="Q29" i="1"/>
  <c r="P43" i="4"/>
  <c r="Q37" i="2"/>
  <c r="Q44" i="2"/>
  <c r="Q49" i="2"/>
  <c r="Q46" i="2"/>
  <c r="Q45" i="2"/>
  <c r="Q47" i="2"/>
  <c r="Q48" i="2"/>
  <c r="R23" i="2"/>
  <c r="R43" i="2" s="1"/>
  <c r="R51" i="2" s="1"/>
  <c r="M87" i="2"/>
  <c r="L66" i="2"/>
  <c r="K65" i="2"/>
  <c r="L75" i="2"/>
  <c r="N63" i="2"/>
  <c r="O60" i="2" s="1"/>
  <c r="S38" i="2"/>
  <c r="T24" i="2"/>
  <c r="R37" i="2"/>
  <c r="O36" i="1"/>
  <c r="O42" i="4" s="1"/>
  <c r="R29" i="1" l="1"/>
  <c r="Q43" i="4"/>
  <c r="S23" i="2"/>
  <c r="S43" i="2" s="1"/>
  <c r="S51" i="2" s="1"/>
  <c r="S46" i="2"/>
  <c r="R46" i="2"/>
  <c r="R44" i="2"/>
  <c r="R47" i="2"/>
  <c r="R48" i="2"/>
  <c r="R49" i="2"/>
  <c r="R45" i="2"/>
  <c r="N84" i="2"/>
  <c r="M83" i="2"/>
  <c r="L67" i="2"/>
  <c r="L68" i="2"/>
  <c r="L89" i="2" s="1"/>
  <c r="O61" i="2"/>
  <c r="O62" i="2"/>
  <c r="L71" i="2"/>
  <c r="M72" i="2"/>
  <c r="T38" i="2"/>
  <c r="U24" i="2"/>
  <c r="P36" i="1"/>
  <c r="P42" i="4" s="1"/>
  <c r="N81" i="2"/>
  <c r="O78" i="2" s="1"/>
  <c r="S29" i="1" l="1"/>
  <c r="R43" i="4"/>
  <c r="T23" i="2"/>
  <c r="T43" i="2" s="1"/>
  <c r="T51" i="2" s="1"/>
  <c r="S37" i="2"/>
  <c r="S48" i="2"/>
  <c r="S49" i="2"/>
  <c r="S44" i="2"/>
  <c r="S47" i="2"/>
  <c r="S45" i="2"/>
  <c r="T46" i="2"/>
  <c r="T47" i="2"/>
  <c r="T44" i="2"/>
  <c r="O79" i="2"/>
  <c r="O80" i="2"/>
  <c r="N86" i="2"/>
  <c r="N85" i="2"/>
  <c r="M73" i="2"/>
  <c r="M74" i="2"/>
  <c r="L69" i="2"/>
  <c r="O63" i="2"/>
  <c r="P60" i="2" s="1"/>
  <c r="V24" i="2"/>
  <c r="U38" i="2"/>
  <c r="U23" i="2"/>
  <c r="U43" i="2" s="1"/>
  <c r="U51" i="2" s="1"/>
  <c r="Q36" i="1"/>
  <c r="Q42" i="4" s="1"/>
  <c r="N77" i="2"/>
  <c r="T29" i="1" l="1"/>
  <c r="S43" i="4"/>
  <c r="T37" i="2"/>
  <c r="T45" i="2"/>
  <c r="T48" i="2"/>
  <c r="T49" i="2"/>
  <c r="U47" i="2"/>
  <c r="U46" i="2"/>
  <c r="U45" i="2"/>
  <c r="U49" i="2"/>
  <c r="U48" i="2"/>
  <c r="U44" i="2"/>
  <c r="N87" i="2"/>
  <c r="M66" i="2"/>
  <c r="L65" i="2"/>
  <c r="M75" i="2"/>
  <c r="P61" i="2"/>
  <c r="P62" i="2"/>
  <c r="W24" i="2"/>
  <c r="V38" i="2"/>
  <c r="V23" i="2"/>
  <c r="V43" i="2" s="1"/>
  <c r="V51" i="2" s="1"/>
  <c r="U37" i="2"/>
  <c r="R36" i="1"/>
  <c r="R42" i="4" s="1"/>
  <c r="U29" i="1" l="1"/>
  <c r="T43" i="4"/>
  <c r="P63" i="2"/>
  <c r="Q60" i="2" s="1"/>
  <c r="Q61" i="2" s="1"/>
  <c r="O84" i="2"/>
  <c r="N83" i="2"/>
  <c r="V48" i="2"/>
  <c r="V46" i="2"/>
  <c r="V47" i="2"/>
  <c r="V44" i="2"/>
  <c r="V49" i="2"/>
  <c r="V45" i="2"/>
  <c r="M67" i="2"/>
  <c r="M68" i="2"/>
  <c r="M71" i="2"/>
  <c r="N72" i="2"/>
  <c r="W38" i="2"/>
  <c r="X24" i="2"/>
  <c r="V37" i="2"/>
  <c r="W23" i="2"/>
  <c r="W43" i="2" s="1"/>
  <c r="W51" i="2" s="1"/>
  <c r="S36" i="1"/>
  <c r="S42" i="4" s="1"/>
  <c r="O81" i="2"/>
  <c r="P78" i="2" s="1"/>
  <c r="V29" i="1" l="1"/>
  <c r="U43" i="4"/>
  <c r="Q62" i="2"/>
  <c r="Q63" i="2" s="1"/>
  <c r="R60" i="2" s="1"/>
  <c r="O86" i="2"/>
  <c r="O85" i="2"/>
  <c r="W47" i="2"/>
  <c r="W49" i="2"/>
  <c r="W45" i="2"/>
  <c r="W44" i="2"/>
  <c r="W48" i="2"/>
  <c r="W46" i="2"/>
  <c r="P79" i="2"/>
  <c r="P80" i="2"/>
  <c r="N74" i="2"/>
  <c r="N73" i="2"/>
  <c r="M69" i="2"/>
  <c r="X38" i="2"/>
  <c r="Y24" i="2"/>
  <c r="W37" i="2"/>
  <c r="X23" i="2"/>
  <c r="X43" i="2" s="1"/>
  <c r="X51" i="2" s="1"/>
  <c r="T36" i="1"/>
  <c r="T42" i="4" s="1"/>
  <c r="O77" i="2"/>
  <c r="W29" i="1" l="1"/>
  <c r="V43" i="4"/>
  <c r="R62" i="2"/>
  <c r="R61" i="2"/>
  <c r="X44" i="2"/>
  <c r="X48" i="2"/>
  <c r="X49" i="2"/>
  <c r="X47" i="2"/>
  <c r="X45" i="2"/>
  <c r="X46" i="2"/>
  <c r="O87" i="2"/>
  <c r="N75" i="2"/>
  <c r="N66" i="2"/>
  <c r="M65" i="2"/>
  <c r="Y38" i="2"/>
  <c r="Z24" i="2"/>
  <c r="Y23" i="2"/>
  <c r="Y43" i="2" s="1"/>
  <c r="Y51" i="2" s="1"/>
  <c r="X37" i="2"/>
  <c r="U36" i="1"/>
  <c r="U42" i="4" s="1"/>
  <c r="X29" i="1" l="1"/>
  <c r="W43" i="4"/>
  <c r="R63" i="2"/>
  <c r="S60" i="2" s="1"/>
  <c r="S61" i="2" s="1"/>
  <c r="O83" i="2"/>
  <c r="P84" i="2"/>
  <c r="Y45" i="2"/>
  <c r="Y47" i="2"/>
  <c r="Y44" i="2"/>
  <c r="Y46" i="2"/>
  <c r="Y49" i="2"/>
  <c r="Y48" i="2"/>
  <c r="N67" i="2"/>
  <c r="N68" i="2"/>
  <c r="O72" i="2"/>
  <c r="N71" i="2"/>
  <c r="Z38" i="2"/>
  <c r="AA24" i="2"/>
  <c r="Y37" i="2"/>
  <c r="Z23" i="2"/>
  <c r="Z43" i="2" s="1"/>
  <c r="Z51" i="2" s="1"/>
  <c r="V36" i="1"/>
  <c r="V42" i="4" s="1"/>
  <c r="P81" i="2"/>
  <c r="Q78" i="2" s="1"/>
  <c r="S62" i="2" l="1"/>
  <c r="S63" i="2" s="1"/>
  <c r="T60" i="2" s="1"/>
  <c r="Y29" i="1"/>
  <c r="X43" i="4"/>
  <c r="Z49" i="2"/>
  <c r="Z44" i="2"/>
  <c r="Z48" i="2"/>
  <c r="Z46" i="2"/>
  <c r="Z45" i="2"/>
  <c r="Z47" i="2"/>
  <c r="P85" i="2"/>
  <c r="P86" i="2"/>
  <c r="Q79" i="2"/>
  <c r="Q80" i="2"/>
  <c r="O73" i="2"/>
  <c r="O74" i="2"/>
  <c r="N69" i="2"/>
  <c r="T61" i="2"/>
  <c r="T62" i="2"/>
  <c r="AA38" i="2"/>
  <c r="AB24" i="2"/>
  <c r="AA23" i="2"/>
  <c r="AA43" i="2" s="1"/>
  <c r="AA51" i="2" s="1"/>
  <c r="Z37" i="2"/>
  <c r="W36" i="1"/>
  <c r="W42" i="4" s="1"/>
  <c r="P77" i="2"/>
  <c r="Z29" i="1" l="1"/>
  <c r="Y43" i="4"/>
  <c r="P87" i="2"/>
  <c r="Q84" i="2" s="1"/>
  <c r="Q85" i="2" s="1"/>
  <c r="T63" i="2"/>
  <c r="U60" i="2" s="1"/>
  <c r="U61" i="2" s="1"/>
  <c r="O75" i="2"/>
  <c r="O71" i="2" s="1"/>
  <c r="AA46" i="2"/>
  <c r="AA45" i="2"/>
  <c r="AA44" i="2"/>
  <c r="AA48" i="2"/>
  <c r="AA49" i="2"/>
  <c r="AA47" i="2"/>
  <c r="O66" i="2"/>
  <c r="N65" i="2"/>
  <c r="AC24" i="2"/>
  <c r="AB38" i="2"/>
  <c r="AB23" i="2"/>
  <c r="AB43" i="2" s="1"/>
  <c r="AB51" i="2" s="1"/>
  <c r="AA37" i="2"/>
  <c r="X36" i="1"/>
  <c r="X42" i="4" s="1"/>
  <c r="Q81" i="2"/>
  <c r="R78" i="2" s="1"/>
  <c r="AA29" i="1" l="1"/>
  <c r="Z43" i="4"/>
  <c r="Q86" i="2"/>
  <c r="Q87" i="2" s="1"/>
  <c r="P83" i="2"/>
  <c r="U62" i="2"/>
  <c r="U63" i="2" s="1"/>
  <c r="V60" i="2" s="1"/>
  <c r="V62" i="2" s="1"/>
  <c r="P72" i="2"/>
  <c r="P73" i="2" s="1"/>
  <c r="AB44" i="2"/>
  <c r="AB46" i="2"/>
  <c r="AB47" i="2"/>
  <c r="AB49" i="2"/>
  <c r="AB48" i="2"/>
  <c r="AB45" i="2"/>
  <c r="R80" i="2"/>
  <c r="R79" i="2"/>
  <c r="O67" i="2"/>
  <c r="O68" i="2"/>
  <c r="AD24" i="2"/>
  <c r="AC38" i="2"/>
  <c r="AC23" i="2"/>
  <c r="AC43" i="2" s="1"/>
  <c r="AC51" i="2" s="1"/>
  <c r="AB37" i="2"/>
  <c r="Y36" i="1"/>
  <c r="Y42" i="4" s="1"/>
  <c r="Q77" i="2"/>
  <c r="AB29" i="1" l="1"/>
  <c r="AA43" i="4"/>
  <c r="P74" i="2"/>
  <c r="AC44" i="2"/>
  <c r="AC48" i="2"/>
  <c r="AC49" i="2"/>
  <c r="AC46" i="2"/>
  <c r="AC45" i="2"/>
  <c r="AC47" i="2"/>
  <c r="V61" i="2"/>
  <c r="V63" i="2" s="1"/>
  <c r="W60" i="2" s="1"/>
  <c r="W62" i="2" s="1"/>
  <c r="R84" i="2"/>
  <c r="Q83" i="2"/>
  <c r="P75" i="2"/>
  <c r="P71" i="2" s="1"/>
  <c r="O69" i="2"/>
  <c r="AD38" i="2"/>
  <c r="AE24" i="2"/>
  <c r="AE38" i="2" s="1"/>
  <c r="AC37" i="2"/>
  <c r="AD23" i="2"/>
  <c r="AD43" i="2" s="1"/>
  <c r="AD51" i="2" s="1"/>
  <c r="Z36" i="1"/>
  <c r="Z42" i="4" s="1"/>
  <c r="AC29" i="1" l="1"/>
  <c r="AB43" i="4"/>
  <c r="W61" i="2"/>
  <c r="W63" i="2" s="1"/>
  <c r="X60" i="2" s="1"/>
  <c r="X61" i="2" s="1"/>
  <c r="Q72" i="2"/>
  <c r="Q73" i="2" s="1"/>
  <c r="AD47" i="2"/>
  <c r="AD49" i="2"/>
  <c r="AD45" i="2"/>
  <c r="AD48" i="2"/>
  <c r="AD46" i="2"/>
  <c r="AD44" i="2"/>
  <c r="R85" i="2"/>
  <c r="R86" i="2"/>
  <c r="P66" i="2"/>
  <c r="O65" i="2"/>
  <c r="AD37" i="2"/>
  <c r="AE23" i="2"/>
  <c r="AE43" i="2" s="1"/>
  <c r="AE51" i="2" s="1"/>
  <c r="AA36" i="1"/>
  <c r="AA42" i="4" s="1"/>
  <c r="R81" i="2"/>
  <c r="S78" i="2" s="1"/>
  <c r="AD29" i="1" l="1"/>
  <c r="AC43" i="4"/>
  <c r="Q74" i="2"/>
  <c r="Q75" i="2" s="1"/>
  <c r="Q71" i="2" s="1"/>
  <c r="X62" i="2"/>
  <c r="X63" i="2" s="1"/>
  <c r="Y60" i="2" s="1"/>
  <c r="AE44" i="2"/>
  <c r="AE49" i="2"/>
  <c r="AE46" i="2"/>
  <c r="AE47" i="2"/>
  <c r="AE48" i="2"/>
  <c r="AE45" i="2"/>
  <c r="R87" i="2"/>
  <c r="S79" i="2"/>
  <c r="S80" i="2"/>
  <c r="P67" i="2"/>
  <c r="P68" i="2"/>
  <c r="AE37" i="2"/>
  <c r="AB36" i="1"/>
  <c r="AB42" i="4" s="1"/>
  <c r="R77" i="2"/>
  <c r="AF24" i="2"/>
  <c r="B32" i="2"/>
  <c r="C32" i="2" s="1"/>
  <c r="AE29" i="1" l="1"/>
  <c r="AD43" i="4"/>
  <c r="R72" i="2"/>
  <c r="R74" i="2" s="1"/>
  <c r="S84" i="2"/>
  <c r="R83" i="2"/>
  <c r="P69" i="2"/>
  <c r="Y61" i="2"/>
  <c r="Y62" i="2"/>
  <c r="AC36" i="1"/>
  <c r="AC42" i="4" s="1"/>
  <c r="AF23" i="2"/>
  <c r="AF43" i="2" s="1"/>
  <c r="AF51" i="2" s="1"/>
  <c r="AG24" i="2"/>
  <c r="AF38" i="2"/>
  <c r="B31" i="2"/>
  <c r="AF29" i="1" l="1"/>
  <c r="AE43" i="4"/>
  <c r="R73" i="2"/>
  <c r="R75" i="2" s="1"/>
  <c r="S86" i="2"/>
  <c r="S85" i="2"/>
  <c r="AF49" i="2"/>
  <c r="AF46" i="2"/>
  <c r="AF47" i="2"/>
  <c r="AF44" i="2"/>
  <c r="AF48" i="2"/>
  <c r="AF45" i="2"/>
  <c r="Q66" i="2"/>
  <c r="P65" i="2"/>
  <c r="Y63" i="2"/>
  <c r="Z60" i="2" s="1"/>
  <c r="AD36" i="1"/>
  <c r="AD42" i="4" s="1"/>
  <c r="S81" i="2"/>
  <c r="T78" i="2" s="1"/>
  <c r="AH24" i="2"/>
  <c r="AG38" i="2"/>
  <c r="AG23" i="2"/>
  <c r="AG43" i="2" s="1"/>
  <c r="AG51" i="2" s="1"/>
  <c r="AF37" i="2"/>
  <c r="C21" i="2"/>
  <c r="D10" i="2" s="1"/>
  <c r="D20" i="2" s="1"/>
  <c r="C31" i="2"/>
  <c r="B35" i="2"/>
  <c r="AG29" i="1" l="1"/>
  <c r="AF43" i="4"/>
  <c r="AG45" i="2"/>
  <c r="AG44" i="2"/>
  <c r="AG48" i="2"/>
  <c r="AG47" i="2"/>
  <c r="AG46" i="2"/>
  <c r="AG49" i="2"/>
  <c r="S87" i="2"/>
  <c r="S83" i="2" s="1"/>
  <c r="T79" i="2"/>
  <c r="T80" i="2"/>
  <c r="Q67" i="2"/>
  <c r="Q68" i="2"/>
  <c r="Z62" i="2"/>
  <c r="Z61" i="2"/>
  <c r="S72" i="2"/>
  <c r="R71" i="2"/>
  <c r="AE36" i="1"/>
  <c r="AE42" i="4" s="1"/>
  <c r="S77" i="2"/>
  <c r="AH23" i="2"/>
  <c r="AH43" i="2" s="1"/>
  <c r="AH51" i="2" s="1"/>
  <c r="AG37" i="2"/>
  <c r="AI24" i="2"/>
  <c r="AH38" i="2"/>
  <c r="C35" i="2"/>
  <c r="AH29" i="1" l="1"/>
  <c r="AG43" i="4"/>
  <c r="AH46" i="2"/>
  <c r="AH48" i="2"/>
  <c r="AH47" i="2"/>
  <c r="AH45" i="2"/>
  <c r="AH49" i="2"/>
  <c r="AH44" i="2"/>
  <c r="S73" i="2"/>
  <c r="S74" i="2"/>
  <c r="Q69" i="2"/>
  <c r="Z63" i="2"/>
  <c r="AA60" i="2" s="1"/>
  <c r="D32" i="2"/>
  <c r="T84" i="2"/>
  <c r="AF36" i="1"/>
  <c r="AF42" i="4" s="1"/>
  <c r="AJ24" i="2"/>
  <c r="AI38" i="2"/>
  <c r="AI23" i="2"/>
  <c r="AI43" i="2" s="1"/>
  <c r="AI51" i="2" s="1"/>
  <c r="AH37" i="2"/>
  <c r="D31" i="2"/>
  <c r="D29" i="2"/>
  <c r="D30" i="2"/>
  <c r="D28" i="2"/>
  <c r="D34" i="2"/>
  <c r="D27" i="2"/>
  <c r="D26" i="2"/>
  <c r="AI29" i="1" l="1"/>
  <c r="AI43" i="4" s="1"/>
  <c r="AH43" i="4"/>
  <c r="AI47" i="2"/>
  <c r="AI44" i="2"/>
  <c r="AI48" i="2"/>
  <c r="AI46" i="2"/>
  <c r="AI49" i="2"/>
  <c r="AI45" i="2"/>
  <c r="Q65" i="2"/>
  <c r="R66" i="2"/>
  <c r="AA61" i="2"/>
  <c r="AA62" i="2"/>
  <c r="S75" i="2"/>
  <c r="T86" i="2"/>
  <c r="T85" i="2"/>
  <c r="Q67" i="4"/>
  <c r="Q70" i="4" s="1"/>
  <c r="H26" i="2"/>
  <c r="E43" i="4"/>
  <c r="AG36" i="1"/>
  <c r="AG42" i="4" s="1"/>
  <c r="T81" i="2"/>
  <c r="U78" i="2" s="1"/>
  <c r="AJ23" i="2"/>
  <c r="AJ43" i="2" s="1"/>
  <c r="AJ51" i="2" s="1"/>
  <c r="AI37" i="2"/>
  <c r="AK24" i="2"/>
  <c r="AJ38" i="2"/>
  <c r="D35" i="2"/>
  <c r="I33" i="2"/>
  <c r="I40" i="2" s="1"/>
  <c r="H40" i="2" s="1"/>
  <c r="AJ48" i="2" l="1"/>
  <c r="AJ49" i="2"/>
  <c r="AJ45" i="2"/>
  <c r="AJ46" i="2"/>
  <c r="AJ44" i="2"/>
  <c r="AJ47" i="2"/>
  <c r="U79" i="2"/>
  <c r="U80" i="2"/>
  <c r="R67" i="2"/>
  <c r="R68" i="2"/>
  <c r="S71" i="2"/>
  <c r="T72" i="2"/>
  <c r="AA63" i="2"/>
  <c r="AB60" i="2" s="1"/>
  <c r="T87" i="2"/>
  <c r="T83" i="2" s="1"/>
  <c r="F33" i="2"/>
  <c r="F6" i="7"/>
  <c r="H33" i="2"/>
  <c r="I35" i="2"/>
  <c r="F67" i="4" s="1"/>
  <c r="F10" i="7"/>
  <c r="F17" i="7" s="1"/>
  <c r="AH36" i="1"/>
  <c r="AH42" i="4" s="1"/>
  <c r="T77" i="2"/>
  <c r="AL24" i="2"/>
  <c r="AL38" i="2" s="1"/>
  <c r="AK38" i="2"/>
  <c r="AK23" i="2"/>
  <c r="AK43" i="2" s="1"/>
  <c r="AK51" i="2" s="1"/>
  <c r="AJ37" i="2"/>
  <c r="AK47" i="2" l="1"/>
  <c r="AK49" i="2"/>
  <c r="AK44" i="2"/>
  <c r="AK48" i="2"/>
  <c r="AK46" i="2"/>
  <c r="AK45" i="2"/>
  <c r="T73" i="2"/>
  <c r="T74" i="2"/>
  <c r="R69" i="2"/>
  <c r="AB61" i="2"/>
  <c r="AB62" i="2"/>
  <c r="U84" i="2"/>
  <c r="U85" i="2" s="1"/>
  <c r="F70" i="4"/>
  <c r="G70" i="4" s="1"/>
  <c r="F72" i="4"/>
  <c r="H35" i="2"/>
  <c r="F18" i="7"/>
  <c r="F20" i="7"/>
  <c r="E20" i="2"/>
  <c r="E21" i="2" s="1"/>
  <c r="N26" i="6" s="1"/>
  <c r="AI36" i="1"/>
  <c r="AI42" i="4" s="1"/>
  <c r="AL23" i="2"/>
  <c r="AL43" i="2" s="1"/>
  <c r="AL51" i="2" s="1"/>
  <c r="AK37" i="2"/>
  <c r="AB63" i="2" l="1"/>
  <c r="AC60" i="2" s="1"/>
  <c r="AC61" i="2" s="1"/>
  <c r="AL44" i="2"/>
  <c r="AL46" i="2"/>
  <c r="AL47" i="2"/>
  <c r="AL45" i="2"/>
  <c r="AL49" i="2"/>
  <c r="AL48" i="2"/>
  <c r="T75" i="2"/>
  <c r="T71" i="2" s="1"/>
  <c r="S66" i="2"/>
  <c r="R65" i="2"/>
  <c r="AL37" i="2"/>
  <c r="U86" i="2"/>
  <c r="U87" i="2" s="1"/>
  <c r="F71" i="4"/>
  <c r="G72" i="4"/>
  <c r="H72" i="4" s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U72" i="4" s="1"/>
  <c r="V72" i="4" s="1"/>
  <c r="W72" i="4" s="1"/>
  <c r="X72" i="4" s="1"/>
  <c r="Y72" i="4" s="1"/>
  <c r="Z72" i="4" s="1"/>
  <c r="AA72" i="4" s="1"/>
  <c r="AB72" i="4" s="1"/>
  <c r="AC72" i="4" s="1"/>
  <c r="AD72" i="4" s="1"/>
  <c r="AE72" i="4" s="1"/>
  <c r="AF72" i="4" s="1"/>
  <c r="AG72" i="4" s="1"/>
  <c r="AH72" i="4" s="1"/>
  <c r="AI72" i="4" s="1"/>
  <c r="F21" i="7"/>
  <c r="G20" i="7"/>
  <c r="G71" i="4"/>
  <c r="H70" i="4"/>
  <c r="H71" i="4" s="1"/>
  <c r="E42" i="4"/>
  <c r="I57" i="2"/>
  <c r="J54" i="2" s="1"/>
  <c r="U81" i="2"/>
  <c r="V78" i="2" s="1"/>
  <c r="AC62" i="2" l="1"/>
  <c r="AC63" i="2" s="1"/>
  <c r="AD60" i="2" s="1"/>
  <c r="V80" i="2"/>
  <c r="V79" i="2"/>
  <c r="U72" i="2"/>
  <c r="S67" i="2"/>
  <c r="S68" i="2"/>
  <c r="V84" i="2"/>
  <c r="U83" i="2"/>
  <c r="E72" i="4"/>
  <c r="H20" i="7"/>
  <c r="H21" i="7" s="1"/>
  <c r="G21" i="7"/>
  <c r="F39" i="4"/>
  <c r="U77" i="2"/>
  <c r="U73" i="2" l="1"/>
  <c r="U74" i="2"/>
  <c r="S69" i="2"/>
  <c r="AD62" i="2"/>
  <c r="AD61" i="2"/>
  <c r="V85" i="2"/>
  <c r="V86" i="2"/>
  <c r="V81" i="2"/>
  <c r="W78" i="2" s="1"/>
  <c r="U75" i="2" l="1"/>
  <c r="U71" i="2" s="1"/>
  <c r="W79" i="2"/>
  <c r="W80" i="2"/>
  <c r="T66" i="2"/>
  <c r="S65" i="2"/>
  <c r="AD63" i="2"/>
  <c r="AE60" i="2" s="1"/>
  <c r="V87" i="2"/>
  <c r="V77" i="2"/>
  <c r="J57" i="2"/>
  <c r="K54" i="2" s="1"/>
  <c r="V72" i="2" l="1"/>
  <c r="V73" i="2" s="1"/>
  <c r="T67" i="2"/>
  <c r="T68" i="2"/>
  <c r="AE61" i="2"/>
  <c r="AE62" i="2"/>
  <c r="V83" i="2"/>
  <c r="W84" i="2"/>
  <c r="W81" i="2"/>
  <c r="X78" i="2" s="1"/>
  <c r="V74" i="2" l="1"/>
  <c r="V75" i="2" s="1"/>
  <c r="AE63" i="2"/>
  <c r="AF60" i="2" s="1"/>
  <c r="AF61" i="2" s="1"/>
  <c r="X79" i="2"/>
  <c r="X80" i="2"/>
  <c r="T69" i="2"/>
  <c r="W85" i="2"/>
  <c r="W86" i="2"/>
  <c r="W77" i="2"/>
  <c r="V71" i="2" l="1"/>
  <c r="W72" i="2"/>
  <c r="W73" i="2" s="1"/>
  <c r="AF62" i="2"/>
  <c r="AF63" i="2" s="1"/>
  <c r="AG60" i="2" s="1"/>
  <c r="AG61" i="2" s="1"/>
  <c r="U66" i="2"/>
  <c r="T65" i="2"/>
  <c r="W87" i="2"/>
  <c r="W83" i="2" s="1"/>
  <c r="K57" i="2"/>
  <c r="L54" i="2" s="1"/>
  <c r="W74" i="2" l="1"/>
  <c r="W75" i="2" s="1"/>
  <c r="W71" i="2" s="1"/>
  <c r="AG62" i="2"/>
  <c r="AG63" i="2" s="1"/>
  <c r="AH60" i="2" s="1"/>
  <c r="X84" i="2"/>
  <c r="X86" i="2" s="1"/>
  <c r="U67" i="2"/>
  <c r="U68" i="2"/>
  <c r="X81" i="2"/>
  <c r="Y78" i="2" s="1"/>
  <c r="X85" i="2" l="1"/>
  <c r="X87" i="2" s="1"/>
  <c r="X83" i="2" s="1"/>
  <c r="Y79" i="2"/>
  <c r="Y80" i="2"/>
  <c r="X72" i="2"/>
  <c r="U69" i="2"/>
  <c r="AH62" i="2"/>
  <c r="AH61" i="2"/>
  <c r="X77" i="2"/>
  <c r="AH63" i="2" l="1"/>
  <c r="AI60" i="2" s="1"/>
  <c r="AI61" i="2" s="1"/>
  <c r="X73" i="2"/>
  <c r="X74" i="2"/>
  <c r="U65" i="2"/>
  <c r="V66" i="2"/>
  <c r="Y84" i="2"/>
  <c r="Y85" i="2" s="1"/>
  <c r="Y81" i="2"/>
  <c r="Z78" i="2" s="1"/>
  <c r="L57" i="2"/>
  <c r="M54" i="2" s="1"/>
  <c r="AI62" i="2" l="1"/>
  <c r="AI63" i="2" s="1"/>
  <c r="AJ60" i="2" s="1"/>
  <c r="X75" i="2"/>
  <c r="X71" i="2" s="1"/>
  <c r="Z80" i="2"/>
  <c r="Z79" i="2"/>
  <c r="Y86" i="2"/>
  <c r="Y87" i="2" s="1"/>
  <c r="V67" i="2"/>
  <c r="V68" i="2"/>
  <c r="M55" i="2"/>
  <c r="M56" i="2"/>
  <c r="M89" i="2" s="1"/>
  <c r="Y77" i="2"/>
  <c r="Y72" i="2" l="1"/>
  <c r="V69" i="2"/>
  <c r="AJ61" i="2"/>
  <c r="AJ62" i="2"/>
  <c r="Y83" i="2"/>
  <c r="Z84" i="2"/>
  <c r="Z81" i="2"/>
  <c r="AA78" i="2" s="1"/>
  <c r="Y74" i="2" l="1"/>
  <c r="Y73" i="2"/>
  <c r="AA79" i="2"/>
  <c r="AA80" i="2"/>
  <c r="W66" i="2"/>
  <c r="V65" i="2"/>
  <c r="Z86" i="2"/>
  <c r="Z85" i="2"/>
  <c r="Z87" i="2" s="1"/>
  <c r="Z83" i="2" s="1"/>
  <c r="AJ63" i="2"/>
  <c r="AK60" i="2" s="1"/>
  <c r="Z77" i="2"/>
  <c r="Y75" i="2" l="1"/>
  <c r="W67" i="2"/>
  <c r="W68" i="2"/>
  <c r="AK61" i="2"/>
  <c r="AK62" i="2"/>
  <c r="AA84" i="2"/>
  <c r="AK63" i="2" l="1"/>
  <c r="AL60" i="2" s="1"/>
  <c r="AL61" i="2" s="1"/>
  <c r="Y71" i="2"/>
  <c r="Z72" i="2"/>
  <c r="W69" i="2"/>
  <c r="AA86" i="2"/>
  <c r="AA85" i="2"/>
  <c r="AA81" i="2"/>
  <c r="AB78" i="2" s="1"/>
  <c r="AL62" i="2" l="1"/>
  <c r="AL63" i="2" s="1"/>
  <c r="AA87" i="2"/>
  <c r="AB84" i="2" s="1"/>
  <c r="AB85" i="2" s="1"/>
  <c r="Z74" i="2"/>
  <c r="Z73" i="2"/>
  <c r="AB79" i="2"/>
  <c r="AB80" i="2"/>
  <c r="X66" i="2"/>
  <c r="W65" i="2"/>
  <c r="AA77" i="2"/>
  <c r="AB86" i="2" l="1"/>
  <c r="AB87" i="2" s="1"/>
  <c r="AA83" i="2"/>
  <c r="Z75" i="2"/>
  <c r="X67" i="2"/>
  <c r="X68" i="2"/>
  <c r="AB83" i="2" l="1"/>
  <c r="AC84" i="2"/>
  <c r="AC85" i="2" s="1"/>
  <c r="AA72" i="2"/>
  <c r="Z71" i="2"/>
  <c r="AC86" i="2"/>
  <c r="AC87" i="2" s="1"/>
  <c r="X69" i="2"/>
  <c r="AB81" i="2"/>
  <c r="AC78" i="2" s="1"/>
  <c r="AA73" i="2" l="1"/>
  <c r="AA74" i="2"/>
  <c r="AC79" i="2"/>
  <c r="AC80" i="2"/>
  <c r="X65" i="2"/>
  <c r="Y66" i="2"/>
  <c r="AD84" i="2"/>
  <c r="AC83" i="2"/>
  <c r="AB77" i="2"/>
  <c r="AA75" i="2" l="1"/>
  <c r="AA71" i="2" s="1"/>
  <c r="Y67" i="2"/>
  <c r="Y68" i="2"/>
  <c r="AD86" i="2"/>
  <c r="AD85" i="2"/>
  <c r="AB72" i="2" l="1"/>
  <c r="AB73" i="2" s="1"/>
  <c r="Y69" i="2"/>
  <c r="AB74" i="2" l="1"/>
  <c r="AB75" i="2" s="1"/>
  <c r="AB71" i="2" s="1"/>
  <c r="Z66" i="2"/>
  <c r="Y65" i="2"/>
  <c r="AD87" i="2"/>
  <c r="AC81" i="2"/>
  <c r="AC72" i="2" l="1"/>
  <c r="AC73" i="2" s="1"/>
  <c r="Z67" i="2"/>
  <c r="Z68" i="2"/>
  <c r="AC77" i="2"/>
  <c r="AD78" i="2"/>
  <c r="AE84" i="2"/>
  <c r="AD83" i="2"/>
  <c r="AC74" i="2" l="1"/>
  <c r="AC75" i="2" s="1"/>
  <c r="AD80" i="2"/>
  <c r="AD79" i="2"/>
  <c r="Z69" i="2"/>
  <c r="AE86" i="2"/>
  <c r="AE85" i="2"/>
  <c r="AD72" i="2" l="1"/>
  <c r="AC71" i="2"/>
  <c r="Z65" i="2"/>
  <c r="AA66" i="2"/>
  <c r="AD81" i="2"/>
  <c r="AE78" i="2" s="1"/>
  <c r="AD74" i="2" l="1"/>
  <c r="AD73" i="2"/>
  <c r="AE79" i="2"/>
  <c r="AE80" i="2"/>
  <c r="AA67" i="2"/>
  <c r="AA68" i="2"/>
  <c r="AE87" i="2"/>
  <c r="AD77" i="2"/>
  <c r="AD75" i="2" l="1"/>
  <c r="AA69" i="2"/>
  <c r="AE83" i="2"/>
  <c r="AF84" i="2"/>
  <c r="AE72" i="2" l="1"/>
  <c r="AD71" i="2"/>
  <c r="AB66" i="2"/>
  <c r="AA65" i="2"/>
  <c r="AF86" i="2"/>
  <c r="AF85" i="2"/>
  <c r="AE81" i="2"/>
  <c r="AF78" i="2" s="1"/>
  <c r="AE73" i="2" l="1"/>
  <c r="AE74" i="2"/>
  <c r="AF79" i="2"/>
  <c r="AF80" i="2"/>
  <c r="AB67" i="2"/>
  <c r="AB68" i="2"/>
  <c r="AE77" i="2"/>
  <c r="AE75" i="2" l="1"/>
  <c r="AE71" i="2" s="1"/>
  <c r="AF72" i="2"/>
  <c r="AB69" i="2"/>
  <c r="AF87" i="2"/>
  <c r="AF73" i="2" l="1"/>
  <c r="AF74" i="2"/>
  <c r="AB65" i="2"/>
  <c r="AC66" i="2"/>
  <c r="AG84" i="2"/>
  <c r="AF83" i="2"/>
  <c r="AF81" i="2"/>
  <c r="AG78" i="2" s="1"/>
  <c r="AF75" i="2" l="1"/>
  <c r="AF71" i="2" s="1"/>
  <c r="AG72" i="2"/>
  <c r="AG79" i="2"/>
  <c r="AG80" i="2"/>
  <c r="AC67" i="2"/>
  <c r="AC68" i="2"/>
  <c r="AG85" i="2"/>
  <c r="AG86" i="2"/>
  <c r="AF77" i="2"/>
  <c r="AG74" i="2" l="1"/>
  <c r="AG73" i="2"/>
  <c r="AC69" i="2"/>
  <c r="AG87" i="2"/>
  <c r="AG83" i="2" s="1"/>
  <c r="AG75" i="2" l="1"/>
  <c r="AC65" i="2"/>
  <c r="AD66" i="2"/>
  <c r="AH84" i="2"/>
  <c r="AH85" i="2" s="1"/>
  <c r="AG81" i="2"/>
  <c r="AH78" i="2" s="1"/>
  <c r="AH72" i="2" l="1"/>
  <c r="AG71" i="2"/>
  <c r="AH80" i="2"/>
  <c r="AH79" i="2"/>
  <c r="AD67" i="2"/>
  <c r="AD68" i="2"/>
  <c r="AH86" i="2"/>
  <c r="AH87" i="2" s="1"/>
  <c r="AI84" i="2" s="1"/>
  <c r="H85" i="2"/>
  <c r="AG77" i="2"/>
  <c r="AH74" i="2" l="1"/>
  <c r="H74" i="2" s="1"/>
  <c r="AH73" i="2"/>
  <c r="H86" i="2"/>
  <c r="AD69" i="2"/>
  <c r="H87" i="2"/>
  <c r="AH83" i="2"/>
  <c r="AI86" i="2"/>
  <c r="AI85" i="2"/>
  <c r="AH81" i="2"/>
  <c r="AI78" i="2" s="1"/>
  <c r="H79" i="2"/>
  <c r="H80" i="2"/>
  <c r="AH75" i="2" l="1"/>
  <c r="H73" i="2"/>
  <c r="AI79" i="2"/>
  <c r="AI80" i="2"/>
  <c r="AE66" i="2"/>
  <c r="AD65" i="2"/>
  <c r="AI87" i="2"/>
  <c r="AJ84" i="2" s="1"/>
  <c r="AJ85" i="2" s="1"/>
  <c r="H81" i="2"/>
  <c r="AH77" i="2"/>
  <c r="AH71" i="2" l="1"/>
  <c r="H75" i="2"/>
  <c r="AI72" i="2"/>
  <c r="AE67" i="2"/>
  <c r="AE68" i="2"/>
  <c r="AI83" i="2"/>
  <c r="AJ86" i="2"/>
  <c r="AJ87" i="2" s="1"/>
  <c r="AK84" i="2" s="1"/>
  <c r="AK85" i="2" s="1"/>
  <c r="AI81" i="2"/>
  <c r="AJ78" i="2" s="1"/>
  <c r="AI74" i="2" l="1"/>
  <c r="AI73" i="2"/>
  <c r="AJ79" i="2"/>
  <c r="AJ80" i="2"/>
  <c r="AE69" i="2"/>
  <c r="AJ83" i="2"/>
  <c r="AK86" i="2"/>
  <c r="AK87" i="2" s="1"/>
  <c r="AL84" i="2" s="1"/>
  <c r="AL85" i="2" s="1"/>
  <c r="AI77" i="2"/>
  <c r="AI75" i="2" l="1"/>
  <c r="AF66" i="2"/>
  <c r="AE65" i="2"/>
  <c r="AL86" i="2"/>
  <c r="F86" i="2" s="1"/>
  <c r="AK83" i="2"/>
  <c r="AJ81" i="2"/>
  <c r="AK78" i="2" s="1"/>
  <c r="AI71" i="2" l="1"/>
  <c r="AJ72" i="2"/>
  <c r="AK79" i="2"/>
  <c r="AK80" i="2"/>
  <c r="AF67" i="2"/>
  <c r="AF68" i="2"/>
  <c r="AL87" i="2"/>
  <c r="F85" i="2"/>
  <c r="AJ77" i="2"/>
  <c r="AJ73" i="2" l="1"/>
  <c r="AJ74" i="2"/>
  <c r="AF69" i="2"/>
  <c r="AL83" i="2"/>
  <c r="F87" i="2"/>
  <c r="AJ75" i="2" l="1"/>
  <c r="AK72" i="2" s="1"/>
  <c r="AJ71" i="2"/>
  <c r="AF65" i="2"/>
  <c r="AG66" i="2"/>
  <c r="AK81" i="2"/>
  <c r="AL78" i="2" s="1"/>
  <c r="AK73" i="2" l="1"/>
  <c r="AK74" i="2"/>
  <c r="AL80" i="2"/>
  <c r="F80" i="2" s="1"/>
  <c r="AL79" i="2"/>
  <c r="AG67" i="2"/>
  <c r="AG68" i="2"/>
  <c r="AK77" i="2"/>
  <c r="AK75" i="2" l="1"/>
  <c r="AG69" i="2"/>
  <c r="AL81" i="2"/>
  <c r="F81" i="2" s="1"/>
  <c r="F79" i="2"/>
  <c r="AL72" i="2" l="1"/>
  <c r="AK71" i="2"/>
  <c r="AG65" i="2"/>
  <c r="AH66" i="2"/>
  <c r="AL77" i="2"/>
  <c r="AL74" i="2" l="1"/>
  <c r="F74" i="2" s="1"/>
  <c r="AL73" i="2"/>
  <c r="AH67" i="2"/>
  <c r="AH68" i="2"/>
  <c r="H68" i="2" s="1"/>
  <c r="I59" i="2"/>
  <c r="I90" i="2"/>
  <c r="I91" i="2" s="1"/>
  <c r="AL75" i="2" l="1"/>
  <c r="F73" i="2"/>
  <c r="AH69" i="2"/>
  <c r="H67" i="2"/>
  <c r="F40" i="4"/>
  <c r="F53" i="4" s="1"/>
  <c r="F54" i="4" s="1"/>
  <c r="F75" i="2" l="1"/>
  <c r="AL71" i="2"/>
  <c r="H69" i="2"/>
  <c r="AH65" i="2"/>
  <c r="AI66" i="2"/>
  <c r="F69" i="4"/>
  <c r="F56" i="4"/>
  <c r="F4" i="7"/>
  <c r="J90" i="2"/>
  <c r="G40" i="4" s="1"/>
  <c r="J59" i="2"/>
  <c r="G39" i="4"/>
  <c r="AI67" i="2" l="1"/>
  <c r="AI68" i="2"/>
  <c r="J91" i="2"/>
  <c r="F5" i="7"/>
  <c r="F7" i="7" s="1"/>
  <c r="F58" i="4"/>
  <c r="G69" i="4"/>
  <c r="F60" i="4"/>
  <c r="F61" i="4" s="1"/>
  <c r="F62" i="4" s="1"/>
  <c r="F57" i="4"/>
  <c r="G53" i="4"/>
  <c r="AI69" i="2" l="1"/>
  <c r="F8" i="7"/>
  <c r="F63" i="4"/>
  <c r="F68" i="4"/>
  <c r="H39" i="4"/>
  <c r="G54" i="4"/>
  <c r="G4" i="7"/>
  <c r="G56" i="4"/>
  <c r="AJ66" i="2" l="1"/>
  <c r="AI65" i="2"/>
  <c r="G60" i="4"/>
  <c r="G61" i="4" s="1"/>
  <c r="G62" i="4" s="1"/>
  <c r="G58" i="4"/>
  <c r="K90" i="2"/>
  <c r="K91" i="2" s="1"/>
  <c r="G5" i="7"/>
  <c r="G57" i="4"/>
  <c r="K59" i="2"/>
  <c r="AJ67" i="2" l="1"/>
  <c r="AJ68" i="2"/>
  <c r="G7" i="7"/>
  <c r="G8" i="7"/>
  <c r="G63" i="4"/>
  <c r="G68" i="4"/>
  <c r="H40" i="4"/>
  <c r="AJ69" i="2" l="1"/>
  <c r="H53" i="4"/>
  <c r="H56" i="4" s="1"/>
  <c r="H69" i="4"/>
  <c r="I39" i="4"/>
  <c r="AK66" i="2" l="1"/>
  <c r="AJ65" i="2"/>
  <c r="H60" i="4"/>
  <c r="H61" i="4" s="1"/>
  <c r="H58" i="4"/>
  <c r="H4" i="7"/>
  <c r="H54" i="4"/>
  <c r="H5" i="7"/>
  <c r="L90" i="2"/>
  <c r="L91" i="2" s="1"/>
  <c r="H57" i="4"/>
  <c r="L59" i="2"/>
  <c r="AK67" i="2" l="1"/>
  <c r="AK68" i="2"/>
  <c r="H62" i="4"/>
  <c r="H7" i="7"/>
  <c r="H8" i="7"/>
  <c r="I40" i="4"/>
  <c r="I53" i="4" s="1"/>
  <c r="I4" i="7" s="1"/>
  <c r="AK69" i="2" l="1"/>
  <c r="H68" i="4"/>
  <c r="H63" i="4"/>
  <c r="I54" i="4"/>
  <c r="I56" i="4"/>
  <c r="I69" i="4"/>
  <c r="AL66" i="2" l="1"/>
  <c r="AK65" i="2"/>
  <c r="I60" i="4"/>
  <c r="I61" i="4" s="1"/>
  <c r="I62" i="4" s="1"/>
  <c r="I63" i="4" s="1"/>
  <c r="I58" i="4"/>
  <c r="M59" i="2"/>
  <c r="I5" i="7"/>
  <c r="I57" i="4"/>
  <c r="AL67" i="2" l="1"/>
  <c r="AL68" i="2"/>
  <c r="F68" i="2" s="1"/>
  <c r="I68" i="4"/>
  <c r="I71" i="4" s="1"/>
  <c r="I7" i="7"/>
  <c r="I8" i="7"/>
  <c r="AL69" i="2" l="1"/>
  <c r="F67" i="2"/>
  <c r="I17" i="7"/>
  <c r="F69" i="2" l="1"/>
  <c r="AL65" i="2"/>
  <c r="N59" i="2"/>
  <c r="I18" i="7"/>
  <c r="I20" i="7" s="1"/>
  <c r="I21" i="7" s="1"/>
  <c r="O59" i="2" l="1"/>
  <c r="P59" i="2" l="1"/>
  <c r="Q59" i="2" l="1"/>
  <c r="R59" i="2" l="1"/>
  <c r="S59" i="2" l="1"/>
  <c r="T59" i="2" l="1"/>
  <c r="U59" i="2" l="1"/>
  <c r="V59" i="2" l="1"/>
  <c r="W59" i="2" l="1"/>
  <c r="X59" i="2" l="1"/>
  <c r="Y59" i="2" l="1"/>
  <c r="Z59" i="2" l="1"/>
  <c r="AA59" i="2" l="1"/>
  <c r="AB59" i="2"/>
  <c r="AC59" i="2" l="1"/>
  <c r="AD59" i="2" l="1"/>
  <c r="AE59" i="2" l="1"/>
  <c r="AF59" i="2" l="1"/>
  <c r="AG59" i="2" l="1"/>
  <c r="H62" i="2" l="1"/>
  <c r="H61" i="2" l="1"/>
  <c r="H63" i="2" l="1"/>
  <c r="AH59" i="2"/>
  <c r="AI59" i="2" l="1"/>
  <c r="AJ59" i="2" l="1"/>
  <c r="AK59" i="2" l="1"/>
  <c r="F62" i="2" l="1"/>
  <c r="F61" i="2" l="1"/>
  <c r="AL59" i="2"/>
  <c r="F63" i="2" l="1"/>
  <c r="G8" i="12" l="1"/>
  <c r="G9" i="12"/>
  <c r="G56" i="12"/>
  <c r="G7" i="12" s="1"/>
  <c r="G56" i="8"/>
  <c r="G12" i="8" s="1"/>
  <c r="G5" i="12" l="1"/>
  <c r="G65" i="12"/>
  <c r="H65" i="12" s="1"/>
  <c r="G13" i="8"/>
  <c r="X13" i="8" s="1"/>
  <c r="O55" i="6"/>
  <c r="O54" i="6"/>
  <c r="X12" i="8"/>
  <c r="G4" i="12"/>
  <c r="G60" i="8"/>
  <c r="G6" i="12"/>
  <c r="G39" i="12"/>
  <c r="H39" i="12" s="1"/>
  <c r="G12" i="12"/>
  <c r="G8" i="8" l="1"/>
  <c r="G69" i="8"/>
  <c r="G9" i="8"/>
  <c r="G10" i="8"/>
  <c r="X11" i="8" s="1"/>
  <c r="G11" i="8"/>
  <c r="G40" i="12"/>
  <c r="H40" i="12" l="1"/>
  <c r="G69" i="12" s="1"/>
  <c r="G8" i="13"/>
  <c r="H69" i="8"/>
  <c r="G43" i="8"/>
  <c r="H43" i="8" s="1"/>
  <c r="G16" i="8"/>
  <c r="G11" i="9" l="1"/>
  <c r="G15" i="9" s="1"/>
  <c r="G12" i="13"/>
  <c r="O58" i="6"/>
  <c r="X16" i="8"/>
  <c r="G44" i="8"/>
  <c r="H44" i="8" s="1"/>
  <c r="G73" i="8" s="1"/>
  <c r="O53" i="6" s="1"/>
  <c r="O32" i="6" l="1"/>
  <c r="G24" i="9"/>
  <c r="H44" i="9"/>
  <c r="G14" i="8"/>
  <c r="H41" i="13"/>
  <c r="U16" i="13" s="1"/>
  <c r="G21" i="13"/>
  <c r="X14" i="8" l="1"/>
  <c r="O56" i="6"/>
  <c r="U19" i="9"/>
  <c r="O44" i="6"/>
  <c r="H21" i="13"/>
  <c r="U13" i="13" s="1"/>
  <c r="G33" i="13"/>
  <c r="V25" i="13"/>
  <c r="O34" i="6"/>
  <c r="G36" i="9"/>
  <c r="V28" i="9"/>
  <c r="N47" i="6" s="1"/>
  <c r="H24" i="9"/>
  <c r="G40" i="9" l="1"/>
  <c r="O36" i="6"/>
  <c r="H36" i="9"/>
  <c r="V29" i="9"/>
  <c r="N48" i="6" s="1"/>
  <c r="U16" i="9"/>
  <c r="O41" i="6"/>
  <c r="G37" i="13"/>
  <c r="H33" i="13"/>
  <c r="U14" i="13" s="1"/>
  <c r="V26" i="13"/>
  <c r="G46" i="9" l="1"/>
  <c r="H40" i="9"/>
  <c r="O37" i="6"/>
  <c r="V30" i="9"/>
  <c r="N49" i="6" s="1"/>
  <c r="G43" i="13"/>
  <c r="H37" i="13"/>
  <c r="U15" i="13" s="1"/>
  <c r="V27" i="13"/>
  <c r="U17" i="9"/>
  <c r="O42" i="6"/>
  <c r="H43" i="13" l="1"/>
  <c r="U17" i="13" s="1"/>
  <c r="V29" i="13"/>
  <c r="H46" i="9"/>
  <c r="O39" i="6"/>
  <c r="V32" i="9"/>
  <c r="N51" i="6" s="1"/>
  <c r="G15" i="8"/>
  <c r="U18" i="9"/>
  <c r="O43" i="6"/>
  <c r="U20" i="9" l="1"/>
  <c r="O45" i="6"/>
  <c r="X15" i="8"/>
  <c r="O57" i="6"/>
  <c r="K53" i="2"/>
  <c r="L53" i="2"/>
  <c r="I53" i="2"/>
  <c r="J53" i="2"/>
  <c r="J39" i="4"/>
  <c r="M57" i="2" l="1"/>
  <c r="N54" i="2" s="1"/>
  <c r="N56" i="2" l="1"/>
  <c r="N89" i="2" s="1"/>
  <c r="N55" i="2"/>
  <c r="M90" i="2"/>
  <c r="M91" i="2" s="1"/>
  <c r="M53" i="2"/>
  <c r="J40" i="4" l="1"/>
  <c r="J69" i="4" s="1"/>
  <c r="N57" i="2"/>
  <c r="O54" i="2" s="1"/>
  <c r="O55" i="2" l="1"/>
  <c r="O56" i="2"/>
  <c r="O89" i="2" s="1"/>
  <c r="J53" i="4"/>
  <c r="J54" i="4" s="1"/>
  <c r="N90" i="2"/>
  <c r="N91" i="2" s="1"/>
  <c r="N53" i="2"/>
  <c r="K39" i="4"/>
  <c r="J56" i="4" l="1"/>
  <c r="J60" i="4" s="1"/>
  <c r="J4" i="7"/>
  <c r="K40" i="4"/>
  <c r="J5" i="7" l="1"/>
  <c r="J7" i="7" s="1"/>
  <c r="J57" i="4"/>
  <c r="J58" i="4"/>
  <c r="O57" i="2"/>
  <c r="P54" i="2" s="1"/>
  <c r="J61" i="4"/>
  <c r="J62" i="4" s="1"/>
  <c r="K69" i="4"/>
  <c r="K53" i="4"/>
  <c r="P55" i="2" l="1"/>
  <c r="P56" i="2"/>
  <c r="P89" i="2" s="1"/>
  <c r="J8" i="7"/>
  <c r="J17" i="7" s="1"/>
  <c r="J68" i="4"/>
  <c r="J71" i="4" s="1"/>
  <c r="J63" i="4"/>
  <c r="O90" i="2"/>
  <c r="O91" i="2" s="1"/>
  <c r="O53" i="2"/>
  <c r="K54" i="4"/>
  <c r="K4" i="7"/>
  <c r="K56" i="4"/>
  <c r="L39" i="4"/>
  <c r="J18" i="7" l="1"/>
  <c r="J20" i="7"/>
  <c r="L40" i="4"/>
  <c r="L69" i="4" s="1"/>
  <c r="K5" i="7"/>
  <c r="K60" i="4"/>
  <c r="K57" i="4"/>
  <c r="K58" i="4"/>
  <c r="L53" i="4" l="1"/>
  <c r="L56" i="4" s="1"/>
  <c r="K61" i="4"/>
  <c r="K8" i="7"/>
  <c r="K7" i="7"/>
  <c r="J21" i="7"/>
  <c r="P57" i="2"/>
  <c r="Q54" i="2" s="1"/>
  <c r="Q55" i="2" l="1"/>
  <c r="Q56" i="2"/>
  <c r="Q89" i="2" s="1"/>
  <c r="L54" i="4"/>
  <c r="L4" i="7"/>
  <c r="P90" i="2"/>
  <c r="P53" i="2"/>
  <c r="K62" i="4"/>
  <c r="L57" i="4"/>
  <c r="L58" i="4"/>
  <c r="L60" i="4"/>
  <c r="L5" i="7"/>
  <c r="L8" i="7" s="1"/>
  <c r="L17" i="7" s="1"/>
  <c r="L18" i="7" s="1"/>
  <c r="M39" i="4"/>
  <c r="P91" i="2"/>
  <c r="K17" i="7"/>
  <c r="K18" i="7" l="1"/>
  <c r="K20" i="7"/>
  <c r="K68" i="4"/>
  <c r="K71" i="4" s="1"/>
  <c r="K63" i="4"/>
  <c r="L7" i="7"/>
  <c r="L61" i="4"/>
  <c r="L62" i="4" s="1"/>
  <c r="M40" i="4"/>
  <c r="M69" i="4" s="1"/>
  <c r="Q57" i="2" l="1"/>
  <c r="R54" i="2" s="1"/>
  <c r="M53" i="4"/>
  <c r="L68" i="4"/>
  <c r="L71" i="4" s="1"/>
  <c r="L63" i="4"/>
  <c r="K21" i="7"/>
  <c r="L20" i="7"/>
  <c r="L21" i="7" s="1"/>
  <c r="R56" i="2" l="1"/>
  <c r="R89" i="2" s="1"/>
  <c r="R55" i="2"/>
  <c r="M54" i="4"/>
  <c r="M56" i="4"/>
  <c r="M4" i="7"/>
  <c r="N39" i="4"/>
  <c r="Q90" i="2"/>
  <c r="Q91" i="2" s="1"/>
  <c r="Q53" i="2"/>
  <c r="N40" i="4" l="1"/>
  <c r="N69" i="4" s="1"/>
  <c r="M58" i="4"/>
  <c r="M57" i="4"/>
  <c r="M60" i="4"/>
  <c r="M5" i="7"/>
  <c r="N53" i="4" l="1"/>
  <c r="N54" i="4" s="1"/>
  <c r="R57" i="2"/>
  <c r="R53" i="2" s="1"/>
  <c r="M8" i="7"/>
  <c r="M7" i="7"/>
  <c r="M61" i="4"/>
  <c r="M62" i="4" s="1"/>
  <c r="N56" i="4" l="1"/>
  <c r="N57" i="4" s="1"/>
  <c r="N4" i="7"/>
  <c r="S54" i="2"/>
  <c r="R90" i="2"/>
  <c r="O40" i="4" s="1"/>
  <c r="M63" i="4"/>
  <c r="M68" i="4"/>
  <c r="M71" i="4" s="1"/>
  <c r="O39" i="4"/>
  <c r="M17" i="7"/>
  <c r="S55" i="2" l="1"/>
  <c r="S56" i="2"/>
  <c r="R91" i="2"/>
  <c r="N5" i="7"/>
  <c r="N8" i="7" s="1"/>
  <c r="N17" i="7" s="1"/>
  <c r="N18" i="7" s="1"/>
  <c r="N60" i="4"/>
  <c r="N61" i="4" s="1"/>
  <c r="N62" i="4" s="1"/>
  <c r="N58" i="4"/>
  <c r="M18" i="7"/>
  <c r="M20" i="7"/>
  <c r="O69" i="4"/>
  <c r="O53" i="4"/>
  <c r="S89" i="2" l="1"/>
  <c r="P39" i="4" s="1"/>
  <c r="S57" i="2"/>
  <c r="S90" i="2" s="1"/>
  <c r="P40" i="4" s="1"/>
  <c r="N7" i="7"/>
  <c r="N68" i="4"/>
  <c r="N71" i="4" s="1"/>
  <c r="N63" i="4"/>
  <c r="M21" i="7"/>
  <c r="N20" i="7"/>
  <c r="N21" i="7" s="1"/>
  <c r="O56" i="4"/>
  <c r="O54" i="4"/>
  <c r="O4" i="7"/>
  <c r="P53" i="4" l="1"/>
  <c r="P54" i="4" s="1"/>
  <c r="T54" i="2"/>
  <c r="P69" i="4"/>
  <c r="S53" i="2"/>
  <c r="S91" i="2"/>
  <c r="O57" i="4"/>
  <c r="O60" i="4"/>
  <c r="O5" i="7"/>
  <c r="O58" i="4"/>
  <c r="P56" i="4" l="1"/>
  <c r="P60" i="4" s="1"/>
  <c r="P4" i="7"/>
  <c r="T55" i="2"/>
  <c r="T56" i="2"/>
  <c r="O8" i="7"/>
  <c r="O7" i="7"/>
  <c r="O61" i="4"/>
  <c r="O62" i="4" s="1"/>
  <c r="P5" i="7" l="1"/>
  <c r="P8" i="7" s="1"/>
  <c r="P17" i="7" s="1"/>
  <c r="P18" i="7" s="1"/>
  <c r="P58" i="4"/>
  <c r="T89" i="2"/>
  <c r="Q39" i="4" s="1"/>
  <c r="P57" i="4"/>
  <c r="T57" i="2"/>
  <c r="T90" i="2" s="1"/>
  <c r="Q40" i="4" s="1"/>
  <c r="O68" i="4"/>
  <c r="O71" i="4" s="1"/>
  <c r="O63" i="4"/>
  <c r="P61" i="4"/>
  <c r="P62" i="4" s="1"/>
  <c r="O17" i="7"/>
  <c r="T53" i="2" l="1"/>
  <c r="P7" i="7"/>
  <c r="Q53" i="4"/>
  <c r="Q4" i="7" s="1"/>
  <c r="Q69" i="4"/>
  <c r="U54" i="2"/>
  <c r="U55" i="2" s="1"/>
  <c r="T91" i="2"/>
  <c r="Q54" i="4"/>
  <c r="O18" i="7"/>
  <c r="O20" i="7" s="1"/>
  <c r="P68" i="4"/>
  <c r="P71" i="4" s="1"/>
  <c r="P63" i="4"/>
  <c r="U56" i="2" l="1"/>
  <c r="U57" i="2" s="1"/>
  <c r="U89" i="2"/>
  <c r="R39" i="4" s="1"/>
  <c r="Q56" i="4"/>
  <c r="Q57" i="4" s="1"/>
  <c r="O21" i="7"/>
  <c r="P20" i="7"/>
  <c r="P21" i="7" s="1"/>
  <c r="Q58" i="4" l="1"/>
  <c r="Q5" i="7"/>
  <c r="Q8" i="7" s="1"/>
  <c r="Q17" i="7" s="1"/>
  <c r="Q18" i="7" s="1"/>
  <c r="Q60" i="4"/>
  <c r="Q61" i="4" s="1"/>
  <c r="Q62" i="4" s="1"/>
  <c r="Q68" i="4" s="1"/>
  <c r="Q71" i="4" s="1"/>
  <c r="U53" i="2"/>
  <c r="V54" i="2"/>
  <c r="U90" i="2"/>
  <c r="Q20" i="7" l="1"/>
  <c r="Q21" i="7" s="1"/>
  <c r="Q7" i="7"/>
  <c r="Q63" i="4"/>
  <c r="R40" i="4"/>
  <c r="U91" i="2"/>
  <c r="V56" i="2"/>
  <c r="V55" i="2"/>
  <c r="V89" i="2" l="1"/>
  <c r="S39" i="4" s="1"/>
  <c r="V57" i="2"/>
  <c r="W54" i="2" s="1"/>
  <c r="W55" i="2" s="1"/>
  <c r="R53" i="4"/>
  <c r="R69" i="4"/>
  <c r="V90" i="2" l="1"/>
  <c r="V91" i="2" s="1"/>
  <c r="W56" i="2"/>
  <c r="V53" i="2"/>
  <c r="R4" i="7"/>
  <c r="R54" i="4"/>
  <c r="R56" i="4"/>
  <c r="W89" i="2" l="1"/>
  <c r="T39" i="4" s="1"/>
  <c r="S40" i="4"/>
  <c r="W57" i="2"/>
  <c r="R60" i="4"/>
  <c r="R61" i="4" s="1"/>
  <c r="R62" i="4" s="1"/>
  <c r="R57" i="4"/>
  <c r="R5" i="7"/>
  <c r="R58" i="4"/>
  <c r="S69" i="4" l="1"/>
  <c r="S53" i="4"/>
  <c r="X54" i="2"/>
  <c r="W90" i="2"/>
  <c r="W53" i="2"/>
  <c r="R68" i="4"/>
  <c r="R71" i="4" s="1"/>
  <c r="R63" i="4"/>
  <c r="R7" i="7"/>
  <c r="R8" i="7"/>
  <c r="R17" i="7" s="1"/>
  <c r="S4" i="7" l="1"/>
  <c r="S54" i="4"/>
  <c r="S56" i="4"/>
  <c r="W91" i="2"/>
  <c r="T40" i="4"/>
  <c r="X55" i="2"/>
  <c r="X56" i="2"/>
  <c r="R18" i="7"/>
  <c r="R20" i="7"/>
  <c r="R21" i="7" s="1"/>
  <c r="X89" i="2" l="1"/>
  <c r="U39" i="4" s="1"/>
  <c r="S57" i="4"/>
  <c r="S5" i="7"/>
  <c r="S58" i="4"/>
  <c r="S60" i="4"/>
  <c r="S61" i="4" s="1"/>
  <c r="S62" i="4" s="1"/>
  <c r="T69" i="4"/>
  <c r="T53" i="4"/>
  <c r="X57" i="2"/>
  <c r="S63" i="4" l="1"/>
  <c r="S68" i="4"/>
  <c r="S71" i="4" s="1"/>
  <c r="S8" i="7"/>
  <c r="S17" i="7" s="1"/>
  <c r="S7" i="7"/>
  <c r="T54" i="4"/>
  <c r="T56" i="4"/>
  <c r="T4" i="7"/>
  <c r="Y54" i="2"/>
  <c r="X90" i="2"/>
  <c r="X53" i="2"/>
  <c r="S18" i="7" l="1"/>
  <c r="S20" i="7" s="1"/>
  <c r="S21" i="7" s="1"/>
  <c r="T57" i="4"/>
  <c r="T60" i="4"/>
  <c r="T61" i="4" s="1"/>
  <c r="T62" i="4" s="1"/>
  <c r="T63" i="4" s="1"/>
  <c r="T58" i="4"/>
  <c r="T5" i="7"/>
  <c r="U40" i="4"/>
  <c r="X91" i="2"/>
  <c r="Y55" i="2"/>
  <c r="Y56" i="2"/>
  <c r="Y89" i="2" l="1"/>
  <c r="V39" i="4" s="1"/>
  <c r="U69" i="4"/>
  <c r="U53" i="4"/>
  <c r="T68" i="4"/>
  <c r="T71" i="4" s="1"/>
  <c r="T7" i="7"/>
  <c r="T8" i="7"/>
  <c r="T17" i="7" s="1"/>
  <c r="T18" i="7" s="1"/>
  <c r="T20" i="7" s="1"/>
  <c r="T21" i="7" s="1"/>
  <c r="Y57" i="2"/>
  <c r="Z54" i="2" l="1"/>
  <c r="Y53" i="2"/>
  <c r="Y90" i="2"/>
  <c r="U54" i="4"/>
  <c r="U56" i="4"/>
  <c r="U4" i="7"/>
  <c r="U57" i="4" l="1"/>
  <c r="U60" i="4"/>
  <c r="U61" i="4" s="1"/>
  <c r="U62" i="4" s="1"/>
  <c r="U63" i="4" s="1"/>
  <c r="U5" i="7"/>
  <c r="U58" i="4"/>
  <c r="Z56" i="2"/>
  <c r="Z55" i="2"/>
  <c r="V40" i="4"/>
  <c r="Y91" i="2"/>
  <c r="Z89" i="2" l="1"/>
  <c r="W39" i="4" s="1"/>
  <c r="Z57" i="2"/>
  <c r="AA54" i="2" s="1"/>
  <c r="AA55" i="2" s="1"/>
  <c r="U68" i="4"/>
  <c r="U71" i="4" s="1"/>
  <c r="V53" i="4"/>
  <c r="V69" i="4"/>
  <c r="U7" i="7"/>
  <c r="U8" i="7"/>
  <c r="U17" i="7" s="1"/>
  <c r="U18" i="7" s="1"/>
  <c r="U20" i="7" s="1"/>
  <c r="U21" i="7" s="1"/>
  <c r="Z53" i="2" l="1"/>
  <c r="AA56" i="2"/>
  <c r="Z90" i="2"/>
  <c r="V54" i="4"/>
  <c r="V4" i="7"/>
  <c r="V56" i="4"/>
  <c r="AA89" i="2" l="1"/>
  <c r="X39" i="4" s="1"/>
  <c r="AA57" i="2"/>
  <c r="AB54" i="2" s="1"/>
  <c r="AB55" i="2" s="1"/>
  <c r="W40" i="4"/>
  <c r="Z91" i="2"/>
  <c r="V60" i="4"/>
  <c r="V61" i="4" s="1"/>
  <c r="V62" i="4" s="1"/>
  <c r="V68" i="4" s="1"/>
  <c r="V71" i="4" s="1"/>
  <c r="V58" i="4"/>
  <c r="V57" i="4"/>
  <c r="V5" i="7"/>
  <c r="AA90" i="2" l="1"/>
  <c r="AB56" i="2"/>
  <c r="AB89" i="2" s="1"/>
  <c r="AA53" i="2"/>
  <c r="W69" i="4"/>
  <c r="W53" i="4"/>
  <c r="V63" i="4"/>
  <c r="V8" i="7"/>
  <c r="V17" i="7" s="1"/>
  <c r="V18" i="7" s="1"/>
  <c r="V20" i="7" s="1"/>
  <c r="V21" i="7" s="1"/>
  <c r="V7" i="7"/>
  <c r="X40" i="4"/>
  <c r="AA91" i="2"/>
  <c r="W54" i="4" l="1"/>
  <c r="W56" i="4"/>
  <c r="W4" i="7"/>
  <c r="Y39" i="4"/>
  <c r="AB57" i="2"/>
  <c r="X69" i="4"/>
  <c r="X53" i="4"/>
  <c r="W58" i="4" l="1"/>
  <c r="W5" i="7"/>
  <c r="W57" i="4"/>
  <c r="W60" i="4"/>
  <c r="W61" i="4" s="1"/>
  <c r="W62" i="4" s="1"/>
  <c r="W68" i="4" s="1"/>
  <c r="W71" i="4" s="1"/>
  <c r="X4" i="7"/>
  <c r="X56" i="4"/>
  <c r="X54" i="4"/>
  <c r="AB90" i="2"/>
  <c r="AB53" i="2"/>
  <c r="AC54" i="2"/>
  <c r="W63" i="4" l="1"/>
  <c r="W8" i="7"/>
  <c r="W17" i="7" s="1"/>
  <c r="W18" i="7" s="1"/>
  <c r="W20" i="7" s="1"/>
  <c r="W21" i="7" s="1"/>
  <c r="W7" i="7"/>
  <c r="AC55" i="2"/>
  <c r="AC56" i="2"/>
  <c r="AC89" i="2" s="1"/>
  <c r="X57" i="4"/>
  <c r="X60" i="4"/>
  <c r="X5" i="7"/>
  <c r="X58" i="4"/>
  <c r="Y40" i="4"/>
  <c r="AB91" i="2"/>
  <c r="X8" i="7" l="1"/>
  <c r="X17" i="7" s="1"/>
  <c r="X7" i="7"/>
  <c r="Z39" i="4"/>
  <c r="X61" i="4"/>
  <c r="X62" i="4" s="1"/>
  <c r="AC57" i="2"/>
  <c r="Y69" i="4"/>
  <c r="Y53" i="4"/>
  <c r="X18" i="7" l="1"/>
  <c r="X20" i="7" s="1"/>
  <c r="Y4" i="7"/>
  <c r="Y54" i="4"/>
  <c r="Y56" i="4"/>
  <c r="X63" i="4"/>
  <c r="X68" i="4"/>
  <c r="X71" i="4" s="1"/>
  <c r="AC90" i="2"/>
  <c r="AD54" i="2"/>
  <c r="AC53" i="2"/>
  <c r="AD56" i="2" l="1"/>
  <c r="AD89" i="2" s="1"/>
  <c r="AD55" i="2"/>
  <c r="X21" i="7"/>
  <c r="Y60" i="4"/>
  <c r="Y57" i="4"/>
  <c r="Y58" i="4"/>
  <c r="Y5" i="7"/>
  <c r="Z40" i="4"/>
  <c r="AC91" i="2"/>
  <c r="AA39" i="4" l="1"/>
  <c r="Z69" i="4"/>
  <c r="Z53" i="4"/>
  <c r="Y61" i="4"/>
  <c r="Y62" i="4" s="1"/>
  <c r="Y8" i="7"/>
  <c r="Y17" i="7" s="1"/>
  <c r="Y7" i="7"/>
  <c r="AD57" i="2"/>
  <c r="Y18" i="7" l="1"/>
  <c r="Y20" i="7" s="1"/>
  <c r="Y68" i="4"/>
  <c r="Y71" i="4" s="1"/>
  <c r="Y63" i="4"/>
  <c r="AD90" i="2"/>
  <c r="AE54" i="2"/>
  <c r="AD53" i="2"/>
  <c r="Z4" i="7"/>
  <c r="Z56" i="4"/>
  <c r="Z54" i="4"/>
  <c r="AE55" i="2" l="1"/>
  <c r="AE56" i="2"/>
  <c r="AE89" i="2" s="1"/>
  <c r="Y21" i="7"/>
  <c r="Z58" i="4"/>
  <c r="Z60" i="4"/>
  <c r="Z5" i="7"/>
  <c r="Z57" i="4"/>
  <c r="AA40" i="4"/>
  <c r="AD91" i="2"/>
  <c r="AE57" i="2" l="1"/>
  <c r="AE90" i="2" s="1"/>
  <c r="AB40" i="4" s="1"/>
  <c r="AA69" i="4"/>
  <c r="AA53" i="4"/>
  <c r="AB39" i="4"/>
  <c r="Z8" i="7"/>
  <c r="Z17" i="7" s="1"/>
  <c r="Z7" i="7"/>
  <c r="Z61" i="4"/>
  <c r="Z62" i="4" s="1"/>
  <c r="Z18" i="7" l="1"/>
  <c r="Z20" i="7" s="1"/>
  <c r="AE91" i="2"/>
  <c r="AF54" i="2"/>
  <c r="AE53" i="2"/>
  <c r="Z63" i="4"/>
  <c r="Z68" i="4"/>
  <c r="Z71" i="4" s="1"/>
  <c r="AB69" i="4"/>
  <c r="AB53" i="4"/>
  <c r="AA54" i="4"/>
  <c r="AA4" i="7"/>
  <c r="AA56" i="4"/>
  <c r="AF55" i="2" l="1"/>
  <c r="AF56" i="2"/>
  <c r="Z21" i="7"/>
  <c r="AA60" i="4"/>
  <c r="AA58" i="4"/>
  <c r="AA5" i="7"/>
  <c r="AA57" i="4"/>
  <c r="AB54" i="4"/>
  <c r="AB56" i="4"/>
  <c r="AB4" i="7"/>
  <c r="AF89" i="2" l="1"/>
  <c r="AC39" i="4" s="1"/>
  <c r="AF57" i="2"/>
  <c r="AF90" i="2" s="1"/>
  <c r="AA8" i="7"/>
  <c r="AA17" i="7" s="1"/>
  <c r="AA7" i="7"/>
  <c r="AB58" i="4"/>
  <c r="AB5" i="7"/>
  <c r="AB60" i="4"/>
  <c r="AB57" i="4"/>
  <c r="AA61" i="4"/>
  <c r="AA62" i="4" s="1"/>
  <c r="AF53" i="2" l="1"/>
  <c r="AA18" i="7"/>
  <c r="AA20" i="7"/>
  <c r="AG54" i="2"/>
  <c r="AB8" i="7"/>
  <c r="AB17" i="7" s="1"/>
  <c r="AB18" i="7" s="1"/>
  <c r="AA63" i="4"/>
  <c r="AA68" i="4"/>
  <c r="AA71" i="4" s="1"/>
  <c r="AC40" i="4"/>
  <c r="AF91" i="2"/>
  <c r="AB61" i="4"/>
  <c r="AB62" i="4" s="1"/>
  <c r="AB7" i="7"/>
  <c r="AG55" i="2" l="1"/>
  <c r="AG56" i="2"/>
  <c r="AA21" i="7"/>
  <c r="AB20" i="7"/>
  <c r="AC20" i="7" s="1"/>
  <c r="AC21" i="7" s="1"/>
  <c r="AB63" i="4"/>
  <c r="AB68" i="4"/>
  <c r="AB71" i="4" s="1"/>
  <c r="AC53" i="4"/>
  <c r="AC69" i="4"/>
  <c r="AG89" i="2" l="1"/>
  <c r="AD39" i="4" s="1"/>
  <c r="AG57" i="2"/>
  <c r="AG53" i="2" s="1"/>
  <c r="AD20" i="7"/>
  <c r="AD21" i="7" s="1"/>
  <c r="AB21" i="7"/>
  <c r="AC54" i="4"/>
  <c r="AC4" i="7"/>
  <c r="AC56" i="4"/>
  <c r="AH54" i="2" l="1"/>
  <c r="AG90" i="2"/>
  <c r="AG91" i="2" s="1"/>
  <c r="AE20" i="7"/>
  <c r="AE21" i="7" s="1"/>
  <c r="AC57" i="4"/>
  <c r="AC60" i="4"/>
  <c r="AC58" i="4"/>
  <c r="AC5" i="7"/>
  <c r="AD40" i="4" l="1"/>
  <c r="AD53" i="4" s="1"/>
  <c r="AH56" i="2"/>
  <c r="AH55" i="2"/>
  <c r="H55" i="2"/>
  <c r="AF20" i="7"/>
  <c r="AF21" i="7" s="1"/>
  <c r="AC61" i="4"/>
  <c r="AC62" i="4" s="1"/>
  <c r="AC8" i="7"/>
  <c r="AC17" i="7" s="1"/>
  <c r="AC18" i="7" s="1"/>
  <c r="AC7" i="7"/>
  <c r="H56" i="2" l="1"/>
  <c r="AH89" i="2"/>
  <c r="H89" i="2" s="1"/>
  <c r="AD69" i="4"/>
  <c r="AH57" i="2"/>
  <c r="AG20" i="7"/>
  <c r="AE39" i="4"/>
  <c r="AD4" i="7"/>
  <c r="AD54" i="4"/>
  <c r="AD56" i="4"/>
  <c r="AC68" i="4"/>
  <c r="AC71" i="4" s="1"/>
  <c r="AC63" i="4"/>
  <c r="AI54" i="2" l="1"/>
  <c r="H57" i="2"/>
  <c r="AH90" i="2"/>
  <c r="AH53" i="2"/>
  <c r="AH20" i="7"/>
  <c r="AH21" i="7" s="1"/>
  <c r="AG21" i="7"/>
  <c r="AD58" i="4"/>
  <c r="AD5" i="7"/>
  <c r="AD57" i="4"/>
  <c r="AD60" i="4"/>
  <c r="AD61" i="4" s="1"/>
  <c r="AD62" i="4" s="1"/>
  <c r="AD63" i="4" s="1"/>
  <c r="AI55" i="2" l="1"/>
  <c r="AI56" i="2"/>
  <c r="AI89" i="2" s="1"/>
  <c r="AF39" i="4" s="1"/>
  <c r="AH91" i="2"/>
  <c r="H91" i="2" s="1"/>
  <c r="H90" i="2"/>
  <c r="AE40" i="4"/>
  <c r="AI20" i="7"/>
  <c r="AI21" i="7" s="1"/>
  <c r="F24" i="7" s="1"/>
  <c r="AD68" i="4"/>
  <c r="AD71" i="4" s="1"/>
  <c r="AD8" i="7"/>
  <c r="AD17" i="7" s="1"/>
  <c r="AD18" i="7" s="1"/>
  <c r="AD7" i="7"/>
  <c r="AE53" i="4" l="1"/>
  <c r="AE69" i="4"/>
  <c r="AI57" i="2"/>
  <c r="AE4" i="7" l="1"/>
  <c r="AE54" i="4"/>
  <c r="AE56" i="4"/>
  <c r="AJ54" i="2"/>
  <c r="AI53" i="2"/>
  <c r="AI90" i="2"/>
  <c r="AJ55" i="2" l="1"/>
  <c r="AJ56" i="2"/>
  <c r="AJ89" i="2" s="1"/>
  <c r="AE60" i="4"/>
  <c r="AE61" i="4" s="1"/>
  <c r="AE62" i="4" s="1"/>
  <c r="AE57" i="4"/>
  <c r="AE58" i="4"/>
  <c r="AE5" i="7"/>
  <c r="AF40" i="4"/>
  <c r="AI91" i="2"/>
  <c r="AG39" i="4" l="1"/>
  <c r="AF69" i="4"/>
  <c r="AF53" i="4"/>
  <c r="AE63" i="4"/>
  <c r="AE68" i="4"/>
  <c r="AE71" i="4" s="1"/>
  <c r="AE7" i="7"/>
  <c r="AE8" i="7"/>
  <c r="AE17" i="7" s="1"/>
  <c r="AE18" i="7" s="1"/>
  <c r="AJ57" i="2"/>
  <c r="AJ90" i="2" l="1"/>
  <c r="AJ53" i="2"/>
  <c r="AK54" i="2"/>
  <c r="AF54" i="4"/>
  <c r="AF4" i="7"/>
  <c r="AF56" i="4"/>
  <c r="AK55" i="2" l="1"/>
  <c r="AK56" i="2"/>
  <c r="AG40" i="4"/>
  <c r="AJ91" i="2"/>
  <c r="AF58" i="4"/>
  <c r="AF57" i="4"/>
  <c r="AF5" i="7"/>
  <c r="AF60" i="4"/>
  <c r="AF61" i="4" s="1"/>
  <c r="AF62" i="4" s="1"/>
  <c r="AK89" i="2" l="1"/>
  <c r="AH39" i="4" s="1"/>
  <c r="AF8" i="7"/>
  <c r="AF17" i="7" s="1"/>
  <c r="AF18" i="7" s="1"/>
  <c r="AF7" i="7"/>
  <c r="AG53" i="4"/>
  <c r="AG69" i="4"/>
  <c r="AK57" i="2"/>
  <c r="AF68" i="4"/>
  <c r="AF71" i="4" s="1"/>
  <c r="AF63" i="4"/>
  <c r="AK90" i="2" l="1"/>
  <c r="AL54" i="2"/>
  <c r="AK53" i="2"/>
  <c r="AG4" i="7"/>
  <c r="AG56" i="4"/>
  <c r="AG54" i="4"/>
  <c r="C53" i="4" s="1"/>
  <c r="AL56" i="2" l="1"/>
  <c r="AL89" i="2" s="1"/>
  <c r="AL55" i="2"/>
  <c r="B4" i="7"/>
  <c r="N20" i="6"/>
  <c r="AG57" i="4"/>
  <c r="AG60" i="4"/>
  <c r="AG61" i="4" s="1"/>
  <c r="AG62" i="4" s="1"/>
  <c r="AG58" i="4"/>
  <c r="AG5" i="7"/>
  <c r="AH40" i="4"/>
  <c r="AK91" i="2"/>
  <c r="AH53" i="4" l="1"/>
  <c r="AH69" i="4"/>
  <c r="E57" i="4"/>
  <c r="C57" i="4"/>
  <c r="AG8" i="7"/>
  <c r="AG17" i="7" s="1"/>
  <c r="AG18" i="7" s="1"/>
  <c r="AG7" i="7"/>
  <c r="AL57" i="2"/>
  <c r="F55" i="2"/>
  <c r="F56" i="2"/>
  <c r="AG63" i="4"/>
  <c r="AG68" i="4"/>
  <c r="AG71" i="4" s="1"/>
  <c r="AI39" i="4" l="1"/>
  <c r="F89" i="2"/>
  <c r="AH56" i="4"/>
  <c r="AH4" i="7"/>
  <c r="N21" i="6"/>
  <c r="B8" i="7"/>
  <c r="E63" i="4"/>
  <c r="C63" i="4"/>
  <c r="N24" i="6" s="1"/>
  <c r="C64" i="4"/>
  <c r="N25" i="6" s="1"/>
  <c r="AL90" i="2"/>
  <c r="F57" i="2"/>
  <c r="AL53" i="2"/>
  <c r="N22" i="6" l="1"/>
  <c r="E39" i="4"/>
  <c r="AH60" i="4"/>
  <c r="AH61" i="4" s="1"/>
  <c r="AH62" i="4" s="1"/>
  <c r="AH68" i="4" s="1"/>
  <c r="AH71" i="4" s="1"/>
  <c r="AH5" i="7"/>
  <c r="AH58" i="4"/>
  <c r="AI40" i="4"/>
  <c r="E40" i="4" s="1"/>
  <c r="F90" i="2"/>
  <c r="AL91" i="2"/>
  <c r="F91" i="2" s="1"/>
  <c r="AI69" i="4" l="1"/>
  <c r="AI53" i="4"/>
  <c r="AH8" i="7"/>
  <c r="AH17" i="7" s="1"/>
  <c r="AH18" i="7" s="1"/>
  <c r="AH7" i="7"/>
  <c r="E53" i="4"/>
  <c r="D4" i="7" s="1"/>
  <c r="D53" i="4" l="1"/>
  <c r="C4" i="7" s="1"/>
  <c r="AI4" i="7"/>
  <c r="AI56" i="4"/>
  <c r="AI58" i="4" l="1"/>
  <c r="E58" i="4" s="1"/>
  <c r="E56" i="4"/>
  <c r="D5" i="7" s="1"/>
  <c r="D56" i="4"/>
  <c r="C5" i="7" s="1"/>
  <c r="AI5" i="7"/>
  <c r="AI60" i="4"/>
  <c r="E60" i="4" l="1"/>
  <c r="AI61" i="4"/>
  <c r="E61" i="4" s="1"/>
  <c r="AI8" i="7"/>
  <c r="AI7" i="7"/>
  <c r="AI62" i="4" l="1"/>
  <c r="AI68" i="4" s="1"/>
  <c r="AI71" i="4" s="1"/>
  <c r="F15" i="7"/>
  <c r="F14" i="7"/>
  <c r="AI17" i="7"/>
  <c r="AI18" i="7" s="1"/>
  <c r="D64" i="4"/>
  <c r="E62" i="4" l="1"/>
  <c r="N27" i="6" s="1"/>
  <c r="F23" i="7"/>
  <c r="F25" i="7" s="1"/>
  <c r="N28" i="6" s="1"/>
  <c r="D6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Sigurd Bunk Lauritsen (SDL)</author>
  </authors>
  <commentList>
    <comment ref="N40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Being transferred to "Financing" Sheet</t>
        </r>
      </text>
    </comment>
  </commentList>
</comments>
</file>

<file path=xl/sharedStrings.xml><?xml version="1.0" encoding="utf-8"?>
<sst xmlns="http://schemas.openxmlformats.org/spreadsheetml/2006/main" count="1329" uniqueCount="425">
  <si>
    <t>Financing  :</t>
  </si>
  <si>
    <t>Equity (Ord+Prf)</t>
  </si>
  <si>
    <t>Supplier Credit</t>
  </si>
  <si>
    <t>Other</t>
  </si>
  <si>
    <t>Total</t>
  </si>
  <si>
    <t>Equity Investment  :</t>
  </si>
  <si>
    <t>%</t>
  </si>
  <si>
    <t>Total Equity</t>
  </si>
  <si>
    <t>Total Investment</t>
  </si>
  <si>
    <t>External financing</t>
  </si>
  <si>
    <t>Year</t>
  </si>
  <si>
    <t>Loan Instalment</t>
  </si>
  <si>
    <t>Interest Payment</t>
  </si>
  <si>
    <t>Capital Payment</t>
  </si>
  <si>
    <t xml:space="preserve">Project year </t>
  </si>
  <si>
    <t>Financing split</t>
  </si>
  <si>
    <t>Financing</t>
  </si>
  <si>
    <t>mio. US$</t>
  </si>
  <si>
    <t>Interest during construction period</t>
  </si>
  <si>
    <t>Loan terms</t>
  </si>
  <si>
    <t>Investment</t>
  </si>
  <si>
    <t>mio US$</t>
  </si>
  <si>
    <t>Interest rate</t>
  </si>
  <si>
    <t>Project investment - mio US$</t>
  </si>
  <si>
    <t>Mio UD$</t>
  </si>
  <si>
    <t>Share in percentage</t>
  </si>
  <si>
    <t>Resulting split</t>
  </si>
  <si>
    <t>Project construction start year</t>
  </si>
  <si>
    <t>Investment (Excl. Interest during construction)</t>
  </si>
  <si>
    <t>External financing (Excl. Interest during construction)</t>
  </si>
  <si>
    <t>Project Cost  :</t>
  </si>
  <si>
    <t>Design cost</t>
  </si>
  <si>
    <t>Civil works:</t>
  </si>
  <si>
    <t>Mobilisation &amp; Overheads</t>
  </si>
  <si>
    <t>Access Roads</t>
  </si>
  <si>
    <t>Training</t>
  </si>
  <si>
    <t>Admin &amp; OH Expenses</t>
  </si>
  <si>
    <t xml:space="preserve">Contingency </t>
  </si>
  <si>
    <t>Total Project Cost</t>
  </si>
  <si>
    <t>Project development costs</t>
  </si>
  <si>
    <t>Pre-feasibility</t>
  </si>
  <si>
    <t>Business plan</t>
  </si>
  <si>
    <t>Sub-total</t>
  </si>
  <si>
    <t>Others</t>
  </si>
  <si>
    <t>Installation of equipment</t>
  </si>
  <si>
    <t>Purchase of equipment</t>
  </si>
  <si>
    <t>Civil works</t>
  </si>
  <si>
    <t>Installation of transmission line</t>
  </si>
  <si>
    <t>Purchase of cables and masts</t>
  </si>
  <si>
    <t>Staff Costs</t>
  </si>
  <si>
    <t>Transport</t>
  </si>
  <si>
    <t>Accomodation</t>
  </si>
  <si>
    <t>Administration and project management</t>
  </si>
  <si>
    <t>Overhead expenses</t>
  </si>
  <si>
    <t>Contingency</t>
  </si>
  <si>
    <t xml:space="preserve"> million US$</t>
  </si>
  <si>
    <t>Env. Protection during construction</t>
  </si>
  <si>
    <t>Type of project:</t>
  </si>
  <si>
    <t>Hydro Power</t>
  </si>
  <si>
    <t>Biomass</t>
  </si>
  <si>
    <t>Equity</t>
  </si>
  <si>
    <t>Instalment payment</t>
  </si>
  <si>
    <t>vvv</t>
  </si>
  <si>
    <t>Loan period - years</t>
  </si>
  <si>
    <t>Income</t>
  </si>
  <si>
    <t>UD$/kWh</t>
  </si>
  <si>
    <t>Electricity price according to PPA</t>
  </si>
  <si>
    <t>US$/kWh</t>
  </si>
  <si>
    <t>MWh</t>
  </si>
  <si>
    <t>Insurance costs</t>
  </si>
  <si>
    <t>Assett value</t>
  </si>
  <si>
    <t>Depreciation</t>
  </si>
  <si>
    <t>Year of commissioning</t>
  </si>
  <si>
    <t>Total investment</t>
  </si>
  <si>
    <t>Project administration and staff</t>
  </si>
  <si>
    <t>Project development &amp; land</t>
  </si>
  <si>
    <t>Costs</t>
  </si>
  <si>
    <t>Financing costs</t>
  </si>
  <si>
    <t>Sale of energy</t>
  </si>
  <si>
    <t>Financing costs total</t>
  </si>
  <si>
    <t>Financing costs - Interest</t>
  </si>
  <si>
    <t>Financing costs - Capital payment</t>
  </si>
  <si>
    <t>Biomass price</t>
  </si>
  <si>
    <t>Bagasse price</t>
  </si>
  <si>
    <t>Emission Credit Sales</t>
  </si>
  <si>
    <t>Management fee</t>
  </si>
  <si>
    <t>Rental lease on land</t>
  </si>
  <si>
    <t>Plant capacity (max)</t>
  </si>
  <si>
    <t>MW</t>
  </si>
  <si>
    <t>Planned downtime (per annum)</t>
  </si>
  <si>
    <t>Hours</t>
  </si>
  <si>
    <t>Expected off-take periods (per annum)</t>
  </si>
  <si>
    <t>Maximum production hours (per annum)</t>
  </si>
  <si>
    <t>Lost production (planned down time)</t>
  </si>
  <si>
    <t>Lost production - off take periods</t>
  </si>
  <si>
    <t>Compensation for off take periods</t>
  </si>
  <si>
    <t>Emission credits</t>
  </si>
  <si>
    <t xml:space="preserve">Compensation for off-take </t>
  </si>
  <si>
    <t xml:space="preserve">GETFiT </t>
  </si>
  <si>
    <t>Subsidies</t>
  </si>
  <si>
    <t>Potential Annual energy production - (Max.)</t>
  </si>
  <si>
    <t>Netto Energy production</t>
  </si>
  <si>
    <t>Energy prices</t>
  </si>
  <si>
    <t>Energy Production</t>
  </si>
  <si>
    <t>O&amp;M costs</t>
  </si>
  <si>
    <t>Ecscallation factor</t>
  </si>
  <si>
    <t xml:space="preserve">Hydro Power </t>
  </si>
  <si>
    <t>1,5% to 2,5% p.a. of investment</t>
  </si>
  <si>
    <t>Bagasse</t>
  </si>
  <si>
    <t>O&amp;M</t>
  </si>
  <si>
    <t>2% to 3% p.a. of investment</t>
  </si>
  <si>
    <t>1,5% to 3% p.a. of investment</t>
  </si>
  <si>
    <t>0,25% to 1% p.a. of investment</t>
  </si>
  <si>
    <t>0,1% to 0,3% p.a. of investment</t>
  </si>
  <si>
    <t>0,2% to 0,5% p.a. of investment</t>
  </si>
  <si>
    <t>NPV</t>
  </si>
  <si>
    <t>Unit</t>
  </si>
  <si>
    <t>Calculated needed investment</t>
  </si>
  <si>
    <t xml:space="preserve">NPV </t>
  </si>
  <si>
    <t>years</t>
  </si>
  <si>
    <t>Staff costs</t>
  </si>
  <si>
    <t>Avoided costs for handling bio-waste products</t>
  </si>
  <si>
    <t>Avoided costs for replaced energy production</t>
  </si>
  <si>
    <t>Other energy related income</t>
  </si>
  <si>
    <t>Accumulated revenue</t>
  </si>
  <si>
    <t>Month of commissioning</t>
  </si>
  <si>
    <t>Depreciation (years) - Lifetime</t>
  </si>
  <si>
    <t>First year operation in percentage</t>
  </si>
  <si>
    <t>Equity  cost rate %</t>
  </si>
  <si>
    <t>WACC</t>
  </si>
  <si>
    <t>Corporate tax rate</t>
  </si>
  <si>
    <t>Pay-back time</t>
  </si>
  <si>
    <t>Gross revenue x years from commissioning</t>
  </si>
  <si>
    <t>Tax</t>
  </si>
  <si>
    <t>Equity share</t>
  </si>
  <si>
    <t>Debt share</t>
  </si>
  <si>
    <t>Risk free rate (long term state bonds)</t>
  </si>
  <si>
    <t>Beta for WACC (S: Darmodaran)</t>
  </si>
  <si>
    <t>Asset Value</t>
  </si>
  <si>
    <t>Project development</t>
  </si>
  <si>
    <t>Overhead etc.</t>
  </si>
  <si>
    <t>Mio US$</t>
  </si>
  <si>
    <t>NPV (project lifetime)</t>
  </si>
  <si>
    <t>IRR (project lifetime)</t>
  </si>
  <si>
    <t>Interest during construction</t>
  </si>
  <si>
    <t>IRR (Internal Rate of Return)</t>
  </si>
  <si>
    <t>Pay-back period</t>
  </si>
  <si>
    <t>Accumulated investment</t>
  </si>
  <si>
    <t>Revenue before tax</t>
  </si>
  <si>
    <t>Cummulative cash-flow</t>
  </si>
  <si>
    <t>Annual investment</t>
  </si>
  <si>
    <t>Countif</t>
  </si>
  <si>
    <t>Index</t>
  </si>
  <si>
    <t>Payback period</t>
  </si>
  <si>
    <t>Balancing payback</t>
  </si>
  <si>
    <t>Payback period - full years</t>
  </si>
  <si>
    <t>Payback full years</t>
  </si>
  <si>
    <t>Average generation</t>
  </si>
  <si>
    <t>Capacity Factor</t>
  </si>
  <si>
    <t>Potential Annual energy production - (Average)</t>
  </si>
  <si>
    <t>Average annual Plant Load Factor</t>
  </si>
  <si>
    <t>Payback part of last year</t>
  </si>
  <si>
    <t>Pay-back time (years)</t>
  </si>
  <si>
    <t>NPV (income)</t>
  </si>
  <si>
    <t>NPV (Costs)</t>
  </si>
  <si>
    <t>NPV net - Gross renevue</t>
  </si>
  <si>
    <t>NPV net- after tax</t>
  </si>
  <si>
    <t>Annual Net Energy Production</t>
  </si>
  <si>
    <t>EBIT (Profit after Tax (project lifetime))</t>
  </si>
  <si>
    <t>EBIT (Profit after tax)</t>
  </si>
  <si>
    <t>EBITDA (Income-costs (excl depreciation))</t>
  </si>
  <si>
    <t>Book value (BV)</t>
  </si>
  <si>
    <t>ROC (Return on Capital Employed)</t>
  </si>
  <si>
    <t>EBIT (Profit before tax)</t>
  </si>
  <si>
    <t>BALANCE SHEET</t>
  </si>
  <si>
    <t>Quick Ratio   [(A-C)/B]</t>
  </si>
  <si>
    <t>Debt-to-Equity Ratio   [(G+H)/F]</t>
  </si>
  <si>
    <t>Cash Ratio   [D/B]</t>
  </si>
  <si>
    <t>Debt Ratio   [(G+H)/E]</t>
  </si>
  <si>
    <t>Assets</t>
  </si>
  <si>
    <t>% of Assets</t>
  </si>
  <si>
    <t>Liabilities &amp; Owners' Equity</t>
  </si>
  <si>
    <t>Current Assets</t>
  </si>
  <si>
    <t xml:space="preserve"> </t>
  </si>
  <si>
    <t xml:space="preserve">  </t>
  </si>
  <si>
    <t>Current Liabilities</t>
  </si>
  <si>
    <t>Cash and cash equivalents   [D]</t>
  </si>
  <si>
    <t>Loans payable and current portion long-term debt   [H]</t>
  </si>
  <si>
    <t>Short-term investments</t>
  </si>
  <si>
    <t>Accounts payable and accrued expenses</t>
  </si>
  <si>
    <t>Accounts receivable   [I]</t>
  </si>
  <si>
    <t>Income taxes payable</t>
  </si>
  <si>
    <t>Inventories   [C]</t>
  </si>
  <si>
    <t>Accrued retirement and profit-sharing contributions</t>
  </si>
  <si>
    <t>Deferred income taxes</t>
  </si>
  <si>
    <t>Total   [B]</t>
  </si>
  <si>
    <t>Prepaid expenses and other current assets</t>
  </si>
  <si>
    <t>Total   [A]</t>
  </si>
  <si>
    <t>Fixed Assets</t>
  </si>
  <si>
    <t>Other Liabilities</t>
  </si>
  <si>
    <t>Property, plant and equipment at cost</t>
  </si>
  <si>
    <t>Long-term debt   [G]</t>
  </si>
  <si>
    <t>Less accumulated depreciation</t>
  </si>
  <si>
    <t>Accrued retirement costs</t>
  </si>
  <si>
    <t>Deferred credits and other liabilities</t>
  </si>
  <si>
    <t>Other Assets</t>
  </si>
  <si>
    <t>Long-term cash investments</t>
  </si>
  <si>
    <t>Equity investments</t>
  </si>
  <si>
    <t>Other assets</t>
  </si>
  <si>
    <t>Total Assets   [E]</t>
  </si>
  <si>
    <t>Total Owner Equity   [F]</t>
  </si>
  <si>
    <t>Total Liabilities + Owner Equity</t>
  </si>
  <si>
    <t>1.000 US$</t>
  </si>
  <si>
    <t>Working Capital  1.000 US$ [A-B]</t>
  </si>
  <si>
    <t>Stated in 1.000 US$, for the financial year:</t>
  </si>
  <si>
    <t>Project Assessment</t>
  </si>
  <si>
    <t>INCOME SHEET</t>
  </si>
  <si>
    <t>Revenue</t>
  </si>
  <si>
    <t>Revenue from sale of Company's goods</t>
  </si>
  <si>
    <t>Other revenue</t>
  </si>
  <si>
    <t>Net Revenue/net sales</t>
  </si>
  <si>
    <t>Costs of sale</t>
  </si>
  <si>
    <t>Operating expenses</t>
  </si>
  <si>
    <t>Research and Development</t>
  </si>
  <si>
    <t>Management and Administration</t>
  </si>
  <si>
    <t>Marketing costs</t>
  </si>
  <si>
    <t>Delivery charges and transport expenses</t>
  </si>
  <si>
    <t>Costs of goods sold</t>
  </si>
  <si>
    <t>Other (Specify)</t>
  </si>
  <si>
    <t>Net costs of sale</t>
  </si>
  <si>
    <t>Net operating expenses</t>
  </si>
  <si>
    <t>Property &amp; manufacturing costs</t>
  </si>
  <si>
    <t>Other income (Specify)</t>
  </si>
  <si>
    <t>Staff costs &amp; salaries</t>
  </si>
  <si>
    <t xml:space="preserve">Purchase of materials for goods </t>
  </si>
  <si>
    <t>Gross Profit</t>
  </si>
  <si>
    <t xml:space="preserve">Depreciation </t>
  </si>
  <si>
    <t>Interest Expenses</t>
  </si>
  <si>
    <t>Tax Expenses</t>
  </si>
  <si>
    <t>Financial Expenses</t>
  </si>
  <si>
    <t>Net income / Net profit</t>
  </si>
  <si>
    <t>Earnings before tax / EBIT / PBIT</t>
  </si>
  <si>
    <t>Margin</t>
  </si>
  <si>
    <t>Current Asset Ratio   [A/B]</t>
  </si>
  <si>
    <t>Gearing ((H+G)/(E-I))</t>
  </si>
  <si>
    <t>Total Liabilities [I]</t>
  </si>
  <si>
    <t>Operating profit / EBIDA</t>
  </si>
  <si>
    <t>Years margin</t>
  </si>
  <si>
    <t>Growth ratio</t>
  </si>
  <si>
    <t>Income Margin</t>
  </si>
  <si>
    <t>Growth ratios</t>
  </si>
  <si>
    <t>Equity costs</t>
  </si>
  <si>
    <t>Debt costs</t>
  </si>
  <si>
    <t>WACC project (Weighted average cost of capital)</t>
  </si>
  <si>
    <t>WACC Developer (Weighted average Cost of Capital)</t>
  </si>
  <si>
    <t>BALANCE SHEET for Developer Group</t>
  </si>
  <si>
    <t>WACC - aggregated</t>
  </si>
  <si>
    <t>Stakeholder:</t>
  </si>
  <si>
    <t>Developer(s):</t>
  </si>
  <si>
    <t>N/A</t>
  </si>
  <si>
    <t>INCOME SHEET for Developer Group</t>
  </si>
  <si>
    <t>Share of Equity</t>
  </si>
  <si>
    <t>Shareholder 2</t>
  </si>
  <si>
    <t>Shareholder 4</t>
  </si>
  <si>
    <t>Shareholder 5</t>
  </si>
  <si>
    <t>Shareholder 3</t>
  </si>
  <si>
    <t>Project partners:</t>
  </si>
  <si>
    <t>Shareholder 1 - main Applicant</t>
  </si>
  <si>
    <t>Name</t>
  </si>
  <si>
    <t>Adress</t>
  </si>
  <si>
    <t>Country</t>
  </si>
  <si>
    <t>Contact person</t>
  </si>
  <si>
    <t>Position</t>
  </si>
  <si>
    <t>e-mail</t>
  </si>
  <si>
    <t>Phone number</t>
  </si>
  <si>
    <t>Mobile Phone No.</t>
  </si>
  <si>
    <t>Company registration number</t>
  </si>
  <si>
    <t>Information(s) on the Project and the Project Applicant:</t>
  </si>
  <si>
    <t>Project Applicant:</t>
  </si>
  <si>
    <t>Project:</t>
  </si>
  <si>
    <t>Project Name:</t>
  </si>
  <si>
    <t>Project Location:</t>
  </si>
  <si>
    <t>Pre-feasibility Study exist (Y/N)</t>
  </si>
  <si>
    <t>Financing in Place (Y/N)</t>
  </si>
  <si>
    <t>Need for new evacuation line (Y/N)</t>
  </si>
  <si>
    <t>Supply to local area (Y/N)</t>
  </si>
  <si>
    <t>Permit Application (NIA)</t>
  </si>
  <si>
    <t>License Application</t>
  </si>
  <si>
    <t>Application History:</t>
  </si>
  <si>
    <t>EIA Study report Approved by NEMA</t>
  </si>
  <si>
    <t>Resettlement Action Planproved by NEMA</t>
  </si>
  <si>
    <t>Construction permit issues from Directorate of Water</t>
  </si>
  <si>
    <t>Permit by NEMA to carry out regulated activity in wetland/riverbanks/lakeshore areas</t>
  </si>
  <si>
    <t>Surface Abstraction Permit from Directorate of Water</t>
  </si>
  <si>
    <t>Date for Permit/License by ERA</t>
  </si>
  <si>
    <t>Date for Application send to ERA</t>
  </si>
  <si>
    <t>Debt development</t>
  </si>
  <si>
    <t>Total Annual Costs</t>
  </si>
  <si>
    <t>Total Annual Energy Income</t>
  </si>
  <si>
    <t>Annual Gross revenue from project</t>
  </si>
  <si>
    <t>Feasibility Study</t>
  </si>
  <si>
    <t>Business Plan</t>
  </si>
  <si>
    <t>Commissioning Costs</t>
  </si>
  <si>
    <t>Substation/circuit breaker purchase</t>
  </si>
  <si>
    <t>Installation of substation/circuit breaker</t>
  </si>
  <si>
    <t>Interconnection Transmission Line (normally not part of project)</t>
  </si>
  <si>
    <t>LocaL Community Royalty</t>
  </si>
  <si>
    <t>Local Community Social Costs</t>
  </si>
  <si>
    <t>Other Community Costs</t>
  </si>
  <si>
    <t>Discount rate</t>
  </si>
  <si>
    <t>IRP</t>
  </si>
  <si>
    <t>1 UDS</t>
  </si>
  <si>
    <t>Equity total</t>
  </si>
  <si>
    <t>Share Capital</t>
  </si>
  <si>
    <t>Reserves</t>
  </si>
  <si>
    <t>Retainesd earnings</t>
  </si>
  <si>
    <t>Permit Application</t>
  </si>
  <si>
    <t>Preliminary Design</t>
  </si>
  <si>
    <t>Detailed design</t>
  </si>
  <si>
    <t>Equity total [F]</t>
  </si>
  <si>
    <t>Total Owner Equity</t>
  </si>
  <si>
    <t xml:space="preserve">Total Owner Equity </t>
  </si>
  <si>
    <t>Return on Assets (ROA)</t>
  </si>
  <si>
    <t>Return on Capital Employed (ROC)</t>
  </si>
  <si>
    <t>Return on Capital Employed (ROCE)</t>
  </si>
  <si>
    <t>Key Performance Indicators</t>
  </si>
  <si>
    <t>Equitry Share</t>
  </si>
  <si>
    <t>Developer Group/Company Assessment (mio. US$)</t>
  </si>
  <si>
    <t>Income Sheet</t>
  </si>
  <si>
    <t>Power evacuation study</t>
  </si>
  <si>
    <t>REN-Power Plc</t>
  </si>
  <si>
    <t>India Eco Energy Invest</t>
  </si>
  <si>
    <t>Standard Chartered Bank</t>
  </si>
  <si>
    <t>Total Investment (Excl.interets during construction)</t>
  </si>
  <si>
    <t>Financing Institutions</t>
  </si>
  <si>
    <t>Bank A</t>
  </si>
  <si>
    <t>Bank B</t>
  </si>
  <si>
    <t>Bank C</t>
  </si>
  <si>
    <t>Bank D</t>
  </si>
  <si>
    <t>Supplier NN</t>
  </si>
  <si>
    <t>Mezzanine loan</t>
  </si>
  <si>
    <t>Adnagu II</t>
  </si>
  <si>
    <t>Construction Insurance</t>
  </si>
  <si>
    <t>Operational Insurance</t>
  </si>
  <si>
    <t>Third Party Liability Insurance</t>
  </si>
  <si>
    <t>Insurance Number</t>
  </si>
  <si>
    <t>Insurance Coverage (1.000 USD)</t>
  </si>
  <si>
    <t>Insurance Information:</t>
  </si>
  <si>
    <t>Loan grace  period</t>
  </si>
  <si>
    <t>Loan (Excl. Interest in construction period)</t>
  </si>
  <si>
    <t>Construction period interest re-payment</t>
  </si>
  <si>
    <t>Interest payment</t>
  </si>
  <si>
    <t>Fees for Env. Consultants</t>
  </si>
  <si>
    <t>Commissioning Civil Works</t>
  </si>
  <si>
    <t>Commissioning Power Evacuation line</t>
  </si>
  <si>
    <t>Commissioning Power House</t>
  </si>
  <si>
    <t>Commissioning Electrical Equipment</t>
  </si>
  <si>
    <t>Procurement</t>
  </si>
  <si>
    <t>Manufacturing of equipment</t>
  </si>
  <si>
    <t xml:space="preserve">   Fuel handling</t>
  </si>
  <si>
    <t xml:space="preserve">   Boiler or Digester</t>
  </si>
  <si>
    <t xml:space="preserve">   Power Generation Equipment, e.g. steam turbine</t>
  </si>
  <si>
    <t xml:space="preserve">   Flue gas treatment equipment</t>
  </si>
  <si>
    <t xml:space="preserve">   Generator</t>
  </si>
  <si>
    <t xml:space="preserve">   Automation and control equipment</t>
  </si>
  <si>
    <t xml:space="preserve">   Switchyard equipment, e.g. transformers</t>
  </si>
  <si>
    <t>Shipment</t>
  </si>
  <si>
    <t xml:space="preserve">   Turbine</t>
  </si>
  <si>
    <t>Procurement - contractor</t>
  </si>
  <si>
    <t>Power plant building construction</t>
  </si>
  <si>
    <t>Conduits construction</t>
  </si>
  <si>
    <t>Penstock construction</t>
  </si>
  <si>
    <t>Dam construction</t>
  </si>
  <si>
    <t>Power plant building</t>
  </si>
  <si>
    <t>Reservoir filling (if applicable)</t>
  </si>
  <si>
    <t>LCOE (Levelized Cost of Energy)</t>
  </si>
  <si>
    <t>low</t>
  </si>
  <si>
    <t>mid</t>
  </si>
  <si>
    <t>high</t>
  </si>
  <si>
    <t>Enviroinmental Mitigation Activities</t>
  </si>
  <si>
    <t>Environmental &amp; Social Costs</t>
  </si>
  <si>
    <t>Land Acquisition &amp; Resettlement</t>
  </si>
  <si>
    <t>Management costs</t>
  </si>
  <si>
    <t>Consultant costs</t>
  </si>
  <si>
    <t>Costs for development of Resettlement Action Plan (RAP)</t>
  </si>
  <si>
    <t>Land acquisition (land lease, land purchase, …)</t>
  </si>
  <si>
    <t>Compensation</t>
  </si>
  <si>
    <t>Project Affected Persons Engagement Costs (PAPs)</t>
  </si>
  <si>
    <t>Costs for PAP Survey (Project Affected Persons)</t>
  </si>
  <si>
    <t>Environmental &amp; Social Management Costs</t>
  </si>
  <si>
    <t>Coste for development of ESIA</t>
  </si>
  <si>
    <t>Fees for approval/license by authorities (NEMA, DWRM,…)</t>
  </si>
  <si>
    <t>Stakeholder Engagement Costs</t>
  </si>
  <si>
    <t>Feasibility study</t>
  </si>
  <si>
    <t>Project Overview</t>
  </si>
  <si>
    <t>Solar Power</t>
  </si>
  <si>
    <t>Geothermal Power</t>
  </si>
  <si>
    <t>Wind Power</t>
  </si>
  <si>
    <t>Geothermal</t>
  </si>
  <si>
    <t>Solar/geothermal/Wind</t>
  </si>
  <si>
    <t>Small hydro power price</t>
  </si>
  <si>
    <t>DOCUMENT CONTROL</t>
  </si>
  <si>
    <t>Reference No.</t>
  </si>
  <si>
    <t>Document Title</t>
  </si>
  <si>
    <t>Document Author</t>
  </si>
  <si>
    <t>M/S Grontmij</t>
  </si>
  <si>
    <t>Reviewed by</t>
  </si>
  <si>
    <t>Management</t>
  </si>
  <si>
    <t>Approved By</t>
  </si>
  <si>
    <t>Document Version</t>
  </si>
  <si>
    <t>Document Status</t>
  </si>
  <si>
    <t>FINAL</t>
  </si>
  <si>
    <t>Date Released</t>
  </si>
  <si>
    <t>File Name</t>
  </si>
  <si>
    <t>Form A15</t>
  </si>
  <si>
    <t>NIA Financing Model Template</t>
  </si>
  <si>
    <t>DOCUMENT CHANGE HISTORY</t>
  </si>
  <si>
    <t>Version</t>
  </si>
  <si>
    <t>Date</t>
  </si>
  <si>
    <t>Author</t>
  </si>
  <si>
    <t>Description</t>
  </si>
  <si>
    <t>Initial release</t>
  </si>
  <si>
    <t>Anselm Olweny</t>
  </si>
  <si>
    <r>
      <t>20141121_</t>
    </r>
    <r>
      <rPr>
        <sz val="11"/>
        <rFont val="Candara"/>
        <family val="2"/>
      </rPr>
      <t>NIAFinancingModelTemplate.xlsx</t>
    </r>
  </si>
  <si>
    <t>Inserted Document Control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</si>
</sst>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 * #,##0.00_ ;_ * \-#,##0.00_ ;_ * &quot;-&quot;??_ ;_ @_ "/>
    <numFmt numFmtId="165" formatCode="0.0%"/>
    <numFmt numFmtId="166" formatCode="#,##0.0"/>
    <numFmt numFmtId="167" formatCode="0.000"/>
    <numFmt numFmtId="168" formatCode="#,##0.000"/>
    <numFmt numFmtId="169" formatCode="_ * #,##0.000_ ;_ * \-#,##0.000_ ;_ * &quot;-&quot;??_ ;_ @_ "/>
    <numFmt numFmtId="170" formatCode="_ * #,##0_ ;_ * \-#,##0_ ;_ * &quot;-&quot;??_ ;_ @_ "/>
    <numFmt numFmtId="171" formatCode="0.0"/>
    <numFmt numFmtId="172" formatCode="_ * #,##0.0_ ;_ * \-#,##0.0_ ;_ * &quot;-&quot;??_ ;_ @_ "/>
    <numFmt numFmtId="173" formatCode="0.0000"/>
    <numFmt numFmtId="175" formatCode="yyyy\-mm\-dd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MT"/>
    </font>
    <font>
      <sz val="10"/>
      <name val="Arial MT"/>
    </font>
    <font>
      <i/>
      <sz val="10"/>
      <name val="Arial MT"/>
    </font>
    <font>
      <b/>
      <u/>
      <sz val="10"/>
      <name val="Arial MT"/>
    </font>
    <font>
      <b/>
      <sz val="11"/>
      <color theme="1"/>
      <name val="Calibri"/>
      <family val="2"/>
      <scheme val="minor"/>
    </font>
    <font>
      <b/>
      <i/>
      <sz val="10"/>
      <name val="Arial MT"/>
    </font>
    <font>
      <sz val="10"/>
      <color theme="1"/>
      <name val="Arial MT"/>
    </font>
    <font>
      <b/>
      <sz val="10"/>
      <color theme="3" tint="0.39997558519241921"/>
      <name val="Arial MT"/>
    </font>
    <font>
      <b/>
      <u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0"/>
      <name val="Arial MT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6"/>
      <color theme="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4"/>
      <name val="Calibri Light"/>
      <family val="2"/>
      <scheme val="major"/>
    </font>
    <font>
      <b/>
      <sz val="15"/>
      <color theme="4"/>
      <name val="Calibri Light"/>
      <family val="2"/>
      <scheme val="major"/>
    </font>
    <font>
      <b/>
      <sz val="12"/>
      <color theme="1" tint="0.14993743705557422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 Black"/>
      <family val="2"/>
    </font>
    <font>
      <b/>
      <sz val="14"/>
      <color theme="0"/>
      <name val="Arial Black"/>
      <family val="2"/>
    </font>
    <font>
      <sz val="11"/>
      <color theme="1"/>
      <name val="Arial Black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u/>
      <sz val="11"/>
      <color theme="1"/>
      <name val="Calibri"/>
      <family val="2"/>
      <scheme val="minor"/>
    </font>
    <font>
      <b/>
      <sz val="14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sz val="12"/>
      <name val="Candara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bgColor theme="0" tint="-0.249977111117893"/>
      </patternFill>
    </fill>
    <fill>
      <patternFill patternType="lightUp">
        <bgColor rgb="FF7030A0"/>
      </patternFill>
    </fill>
    <fill>
      <patternFill patternType="lightUp">
        <bgColor theme="0" tint="-0.14996795556505021"/>
      </patternFill>
    </fill>
    <fill>
      <patternFill patternType="solid">
        <fgColor rgb="FFBFBFB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4" fillId="12" borderId="0" applyFill="0" applyBorder="0" applyProtection="0">
      <alignment horizontal="left" vertical="center"/>
    </xf>
    <xf numFmtId="14" fontId="25" fillId="13" borderId="23" applyBorder="0" applyProtection="0">
      <alignment horizontal="left" vertical="center"/>
    </xf>
    <xf numFmtId="0" fontId="26" fillId="12" borderId="0" applyNumberFormat="0" applyFill="0" applyBorder="0" applyProtection="0"/>
    <xf numFmtId="2" fontId="27" fillId="0" borderId="0" applyFill="0" applyBorder="0" applyProtection="0">
      <alignment horizontal="left" vertical="center"/>
    </xf>
    <xf numFmtId="0" fontId="28" fillId="12" borderId="0" applyNumberFormat="0" applyFill="0" applyBorder="0" applyAlignment="0" applyProtection="0">
      <alignment vertical="center"/>
    </xf>
    <xf numFmtId="0" fontId="28" fillId="12" borderId="24" applyNumberFormat="0" applyFill="0" applyProtection="0"/>
    <xf numFmtId="0" fontId="29" fillId="12" borderId="0" applyNumberFormat="0" applyFill="0" applyBorder="0" applyAlignment="0" applyProtection="0">
      <alignment vertical="center"/>
    </xf>
  </cellStyleXfs>
  <cellXfs count="592">
    <xf numFmtId="0" fontId="0" fillId="0" borderId="0" xfId="0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3" fillId="3" borderId="3" xfId="0" applyFont="1" applyFill="1" applyBorder="1" applyAlignment="1"/>
    <xf numFmtId="0" fontId="3" fillId="3" borderId="11" xfId="0" applyFont="1" applyFill="1" applyBorder="1" applyAlignment="1"/>
    <xf numFmtId="0" fontId="0" fillId="3" borderId="13" xfId="0" applyFill="1" applyBorder="1"/>
    <xf numFmtId="0" fontId="0" fillId="3" borderId="6" xfId="0" applyFill="1" applyBorder="1" applyAlignment="1">
      <alignment horizontal="center" wrapText="1"/>
    </xf>
    <xf numFmtId="167" fontId="6" fillId="3" borderId="18" xfId="0" applyNumberFormat="1" applyFont="1" applyFill="1" applyBorder="1"/>
    <xf numFmtId="0" fontId="0" fillId="3" borderId="16" xfId="0" applyFill="1" applyBorder="1"/>
    <xf numFmtId="0" fontId="0" fillId="3" borderId="9" xfId="0" applyFill="1" applyBorder="1"/>
    <xf numFmtId="167" fontId="6" fillId="3" borderId="11" xfId="0" applyNumberFormat="1" applyFont="1" applyFill="1" applyBorder="1"/>
    <xf numFmtId="0" fontId="0" fillId="3" borderId="12" xfId="0" applyFill="1" applyBorder="1"/>
    <xf numFmtId="0" fontId="0" fillId="3" borderId="10" xfId="0" applyFill="1" applyBorder="1"/>
    <xf numFmtId="0" fontId="0" fillId="3" borderId="3" xfId="0" applyFill="1" applyBorder="1"/>
    <xf numFmtId="167" fontId="6" fillId="3" borderId="9" xfId="0" applyNumberFormat="1" applyFont="1" applyFill="1" applyBorder="1"/>
    <xf numFmtId="167" fontId="0" fillId="3" borderId="13" xfId="0" applyNumberFormat="1" applyFill="1" applyBorder="1"/>
    <xf numFmtId="0" fontId="0" fillId="3" borderId="11" xfId="0" applyFill="1" applyBorder="1"/>
    <xf numFmtId="0" fontId="0" fillId="3" borderId="5" xfId="0" applyFill="1" applyBorder="1" applyAlignment="1">
      <alignment horizontal="center" wrapText="1"/>
    </xf>
    <xf numFmtId="0" fontId="3" fillId="3" borderId="1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167" fontId="0" fillId="0" borderId="0" xfId="0" applyNumberFormat="1"/>
    <xf numFmtId="0" fontId="0" fillId="3" borderId="8" xfId="0" applyFill="1" applyBorder="1"/>
    <xf numFmtId="169" fontId="0" fillId="0" borderId="0" xfId="2" applyNumberFormat="1" applyFont="1"/>
    <xf numFmtId="170" fontId="0" fillId="0" borderId="0" xfId="2" applyNumberFormat="1" applyFont="1"/>
    <xf numFmtId="9" fontId="0" fillId="3" borderId="0" xfId="0" applyNumberFormat="1" applyFill="1"/>
    <xf numFmtId="0" fontId="6" fillId="3" borderId="8" xfId="0" applyFont="1" applyFill="1" applyBorder="1"/>
    <xf numFmtId="170" fontId="0" fillId="3" borderId="0" xfId="2" applyNumberFormat="1" applyFont="1" applyFill="1" applyBorder="1"/>
    <xf numFmtId="170" fontId="0" fillId="3" borderId="3" xfId="2" applyNumberFormat="1" applyFont="1" applyFill="1" applyBorder="1"/>
    <xf numFmtId="167" fontId="0" fillId="3" borderId="0" xfId="0" applyNumberFormat="1" applyFill="1" applyBorder="1"/>
    <xf numFmtId="169" fontId="0" fillId="3" borderId="0" xfId="2" applyNumberFormat="1" applyFont="1" applyFill="1" applyBorder="1"/>
    <xf numFmtId="169" fontId="0" fillId="3" borderId="13" xfId="2" applyNumberFormat="1" applyFont="1" applyFill="1" applyBorder="1"/>
    <xf numFmtId="0" fontId="6" fillId="3" borderId="10" xfId="0" applyFont="1" applyFill="1" applyBorder="1"/>
    <xf numFmtId="167" fontId="6" fillId="3" borderId="3" xfId="0" applyNumberFormat="1" applyFont="1" applyFill="1" applyBorder="1"/>
    <xf numFmtId="168" fontId="0" fillId="3" borderId="0" xfId="0" applyNumberFormat="1" applyFill="1" applyBorder="1"/>
    <xf numFmtId="168" fontId="0" fillId="3" borderId="13" xfId="0" applyNumberFormat="1" applyFill="1" applyBorder="1"/>
    <xf numFmtId="170" fontId="6" fillId="3" borderId="3" xfId="2" applyNumberFormat="1" applyFont="1" applyFill="1" applyBorder="1"/>
    <xf numFmtId="170" fontId="6" fillId="3" borderId="11" xfId="2" applyNumberFormat="1" applyFont="1" applyFill="1" applyBorder="1"/>
    <xf numFmtId="0" fontId="2" fillId="3" borderId="8" xfId="0" applyFont="1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3" fillId="3" borderId="6" xfId="0" applyNumberFormat="1" applyFont="1" applyFill="1" applyBorder="1" applyAlignment="1">
      <alignment horizontal="center" wrapText="1"/>
    </xf>
    <xf numFmtId="0" fontId="0" fillId="3" borderId="5" xfId="0" applyFill="1" applyBorder="1"/>
    <xf numFmtId="0" fontId="0" fillId="3" borderId="7" xfId="0" applyFill="1" applyBorder="1"/>
    <xf numFmtId="0" fontId="0" fillId="3" borderId="6" xfId="0" applyFill="1" applyBorder="1"/>
    <xf numFmtId="0" fontId="6" fillId="3" borderId="6" xfId="0" applyFont="1" applyFill="1" applyBorder="1"/>
    <xf numFmtId="0" fontId="3" fillId="3" borderId="6" xfId="0" applyFont="1" applyFill="1" applyBorder="1" applyAlignment="1">
      <alignment horizontal="center" wrapText="1"/>
    </xf>
    <xf numFmtId="167" fontId="0" fillId="3" borderId="7" xfId="0" applyNumberFormat="1" applyFill="1" applyBorder="1"/>
    <xf numFmtId="167" fontId="0" fillId="3" borderId="6" xfId="0" applyNumberFormat="1" applyFill="1" applyBorder="1"/>
    <xf numFmtId="167" fontId="6" fillId="3" borderId="6" xfId="0" applyNumberFormat="1" applyFont="1" applyFill="1" applyBorder="1"/>
    <xf numFmtId="0" fontId="6" fillId="3" borderId="19" xfId="0" applyFont="1" applyFill="1" applyBorder="1"/>
    <xf numFmtId="2" fontId="6" fillId="3" borderId="19" xfId="0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12" fillId="6" borderId="0" xfId="0" applyFont="1" applyFill="1" applyBorder="1"/>
    <xf numFmtId="2" fontId="12" fillId="6" borderId="0" xfId="0" applyNumberFormat="1" applyFont="1" applyFill="1" applyBorder="1" applyAlignment="1">
      <alignment horizontal="center"/>
    </xf>
    <xf numFmtId="167" fontId="12" fillId="6" borderId="0" xfId="0" applyNumberFormat="1" applyFont="1" applyFill="1" applyBorder="1"/>
    <xf numFmtId="0" fontId="13" fillId="6" borderId="0" xfId="0" applyFont="1" applyFill="1"/>
    <xf numFmtId="9" fontId="0" fillId="0" borderId="0" xfId="1" applyFont="1"/>
    <xf numFmtId="0" fontId="2" fillId="3" borderId="12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0" fillId="8" borderId="5" xfId="0" applyFill="1" applyBorder="1"/>
    <xf numFmtId="0" fontId="0" fillId="8" borderId="7" xfId="0" applyFill="1" applyBorder="1"/>
    <xf numFmtId="0" fontId="0" fillId="8" borderId="6" xfId="0" applyFill="1" applyBorder="1"/>
    <xf numFmtId="0" fontId="6" fillId="8" borderId="6" xfId="0" applyFont="1" applyFill="1" applyBorder="1"/>
    <xf numFmtId="2" fontId="0" fillId="0" borderId="0" xfId="0" applyNumberFormat="1"/>
    <xf numFmtId="0" fontId="6" fillId="3" borderId="16" xfId="0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167" fontId="6" fillId="3" borderId="16" xfId="0" applyNumberFormat="1" applyFont="1" applyFill="1" applyBorder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7" fontId="16" fillId="3" borderId="3" xfId="0" applyNumberFormat="1" applyFont="1" applyFill="1" applyBorder="1"/>
    <xf numFmtId="167" fontId="16" fillId="3" borderId="11" xfId="0" applyNumberFormat="1" applyFont="1" applyFill="1" applyBorder="1"/>
    <xf numFmtId="167" fontId="0" fillId="3" borderId="16" xfId="0" applyNumberFormat="1" applyFill="1" applyBorder="1"/>
    <xf numFmtId="167" fontId="0" fillId="3" borderId="9" xfId="0" applyNumberFormat="1" applyFill="1" applyBorder="1"/>
    <xf numFmtId="167" fontId="6" fillId="3" borderId="2" xfId="0" applyNumberFormat="1" applyFont="1" applyFill="1" applyBorder="1"/>
    <xf numFmtId="2" fontId="0" fillId="2" borderId="0" xfId="0" applyNumberFormat="1" applyFill="1"/>
    <xf numFmtId="2" fontId="6" fillId="3" borderId="2" xfId="0" applyNumberFormat="1" applyFont="1" applyFill="1" applyBorder="1" applyAlignment="1">
      <alignment horizontal="center"/>
    </xf>
    <xf numFmtId="0" fontId="6" fillId="3" borderId="2" xfId="0" applyFont="1" applyFill="1" applyBorder="1"/>
    <xf numFmtId="0" fontId="6" fillId="3" borderId="17" xfId="0" applyFont="1" applyFill="1" applyBorder="1"/>
    <xf numFmtId="0" fontId="0" fillId="3" borderId="17" xfId="0" applyFill="1" applyBorder="1"/>
    <xf numFmtId="2" fontId="0" fillId="0" borderId="0" xfId="0" applyNumberFormat="1" applyFill="1"/>
    <xf numFmtId="0" fontId="0" fillId="0" borderId="8" xfId="0" applyBorder="1"/>
    <xf numFmtId="0" fontId="0" fillId="0" borderId="16" xfId="0" applyBorder="1"/>
    <xf numFmtId="0" fontId="0" fillId="2" borderId="16" xfId="0" applyFill="1" applyBorder="1"/>
    <xf numFmtId="0" fontId="0" fillId="0" borderId="9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0" xfId="0" applyBorder="1"/>
    <xf numFmtId="0" fontId="0" fillId="0" borderId="3" xfId="0" applyBorder="1"/>
    <xf numFmtId="0" fontId="0" fillId="0" borderId="11" xfId="0" applyBorder="1"/>
    <xf numFmtId="2" fontId="0" fillId="0" borderId="0" xfId="0" applyNumberFormat="1" applyBorder="1"/>
    <xf numFmtId="171" fontId="0" fillId="0" borderId="3" xfId="0" applyNumberFormat="1" applyBorder="1"/>
    <xf numFmtId="0" fontId="6" fillId="3" borderId="5" xfId="0" applyFont="1" applyFill="1" applyBorder="1"/>
    <xf numFmtId="0" fontId="6" fillId="3" borderId="2" xfId="0" applyFont="1" applyFill="1" applyBorder="1" applyAlignment="1">
      <alignment horizontal="center"/>
    </xf>
    <xf numFmtId="167" fontId="16" fillId="3" borderId="2" xfId="0" applyNumberFormat="1" applyFont="1" applyFill="1" applyBorder="1"/>
    <xf numFmtId="167" fontId="16" fillId="3" borderId="18" xfId="0" applyNumberFormat="1" applyFont="1" applyFill="1" applyBorder="1"/>
    <xf numFmtId="0" fontId="0" fillId="0" borderId="0" xfId="0" applyProtection="1"/>
    <xf numFmtId="0" fontId="0" fillId="0" borderId="0" xfId="0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9" fillId="11" borderId="0" xfId="0" applyFont="1" applyFill="1" applyAlignment="1" applyProtection="1">
      <alignment vertical="center"/>
    </xf>
    <xf numFmtId="171" fontId="19" fillId="3" borderId="0" xfId="0" applyNumberFormat="1" applyFont="1" applyFill="1" applyAlignment="1" applyProtection="1">
      <alignment horizontal="center" vertical="center"/>
    </xf>
    <xf numFmtId="0" fontId="0" fillId="3" borderId="0" xfId="0" applyFill="1" applyProtection="1"/>
    <xf numFmtId="9" fontId="0" fillId="3" borderId="0" xfId="0" applyNumberForma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9" fillId="11" borderId="0" xfId="0" applyFont="1" applyFill="1" applyAlignment="1" applyProtection="1">
      <alignment horizontal="center" vertical="center"/>
    </xf>
    <xf numFmtId="3" fontId="19" fillId="11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Protection="1"/>
    <xf numFmtId="0" fontId="18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vertical="center"/>
    </xf>
    <xf numFmtId="171" fontId="19" fillId="0" borderId="0" xfId="0" applyNumberFormat="1" applyFont="1" applyFill="1" applyAlignment="1" applyProtection="1">
      <alignment horizontal="center" vertical="center"/>
    </xf>
    <xf numFmtId="9" fontId="19" fillId="0" borderId="0" xfId="1" applyFont="1" applyFill="1" applyAlignment="1" applyProtection="1">
      <alignment horizontal="center" vertical="center"/>
    </xf>
    <xf numFmtId="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3" fontId="19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24" fillId="12" borderId="0" xfId="7">
      <alignment horizontal="left" vertical="center"/>
    </xf>
    <xf numFmtId="0" fontId="26" fillId="12" borderId="0" xfId="9"/>
    <xf numFmtId="0" fontId="21" fillId="12" borderId="21" xfId="4" applyFill="1"/>
    <xf numFmtId="0" fontId="22" fillId="12" borderId="24" xfId="5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9" fillId="12" borderId="0" xfId="13">
      <alignment vertical="center"/>
    </xf>
    <xf numFmtId="9" fontId="29" fillId="12" borderId="0" xfId="1" applyFont="1" applyFill="1" applyAlignment="1">
      <alignment vertical="center"/>
    </xf>
    <xf numFmtId="9" fontId="24" fillId="12" borderId="25" xfId="1" applyNumberFormat="1" applyFont="1" applyFill="1" applyBorder="1" applyAlignment="1">
      <alignment vertical="center"/>
    </xf>
    <xf numFmtId="165" fontId="24" fillId="12" borderId="25" xfId="0" applyNumberFormat="1" applyFont="1" applyFill="1" applyBorder="1" applyAlignment="1">
      <alignment vertical="center"/>
    </xf>
    <xf numFmtId="170" fontId="0" fillId="0" borderId="0" xfId="2" applyNumberFormat="1" applyFont="1" applyAlignment="1">
      <alignment vertical="center"/>
    </xf>
    <xf numFmtId="170" fontId="21" fillId="12" borderId="21" xfId="2" applyNumberFormat="1" applyFont="1" applyFill="1" applyBorder="1" applyAlignment="1">
      <alignment vertical="center"/>
    </xf>
    <xf numFmtId="170" fontId="29" fillId="12" borderId="0" xfId="2" applyNumberFormat="1" applyFont="1" applyFill="1" applyAlignment="1">
      <alignment vertical="center"/>
    </xf>
    <xf numFmtId="170" fontId="21" fillId="12" borderId="21" xfId="2" applyNumberFormat="1" applyFont="1" applyFill="1" applyBorder="1"/>
    <xf numFmtId="2" fontId="27" fillId="0" borderId="0" xfId="10" applyFill="1">
      <alignment horizontal="left" vertical="center"/>
    </xf>
    <xf numFmtId="9" fontId="24" fillId="12" borderId="25" xfId="0" applyNumberFormat="1" applyFont="1" applyFill="1" applyBorder="1" applyAlignment="1">
      <alignment vertical="center"/>
    </xf>
    <xf numFmtId="170" fontId="30" fillId="12" borderId="0" xfId="2" applyNumberFormat="1" applyFont="1" applyFill="1" applyAlignment="1">
      <alignment horizontal="right" vertical="center"/>
    </xf>
    <xf numFmtId="0" fontId="22" fillId="12" borderId="0" xfId="6" applyFont="1" applyFill="1" applyBorder="1" applyAlignment="1">
      <alignment vertical="center"/>
    </xf>
    <xf numFmtId="170" fontId="22" fillId="12" borderId="26" xfId="2" applyNumberFormat="1" applyFont="1" applyFill="1" applyBorder="1" applyAlignment="1">
      <alignment vertical="center"/>
    </xf>
    <xf numFmtId="0" fontId="22" fillId="12" borderId="26" xfId="6" applyFont="1" applyFill="1" applyBorder="1" applyAlignment="1">
      <alignment vertical="center"/>
    </xf>
    <xf numFmtId="0" fontId="22" fillId="12" borderId="28" xfId="0" applyFont="1" applyFill="1" applyBorder="1" applyAlignment="1">
      <alignment vertical="center"/>
    </xf>
    <xf numFmtId="170" fontId="24" fillId="12" borderId="29" xfId="0" applyNumberFormat="1" applyFont="1" applyFill="1" applyBorder="1" applyAlignment="1">
      <alignment vertical="center"/>
    </xf>
    <xf numFmtId="0" fontId="24" fillId="12" borderId="28" xfId="0" applyFont="1" applyFill="1" applyBorder="1" applyAlignment="1">
      <alignment vertical="center"/>
    </xf>
    <xf numFmtId="9" fontId="0" fillId="14" borderId="27" xfId="1" applyNumberFormat="1" applyFont="1" applyFill="1" applyBorder="1" applyAlignment="1">
      <alignment vertical="center"/>
    </xf>
    <xf numFmtId="0" fontId="22" fillId="12" borderId="28" xfId="6" applyFont="1" applyFill="1" applyBorder="1" applyAlignment="1">
      <alignment vertical="center"/>
    </xf>
    <xf numFmtId="170" fontId="24" fillId="12" borderId="29" xfId="2" applyNumberFormat="1" applyFont="1" applyFill="1" applyBorder="1" applyAlignment="1">
      <alignment vertical="center"/>
    </xf>
    <xf numFmtId="0" fontId="0" fillId="13" borderId="0" xfId="0" applyFill="1" applyAlignment="1">
      <alignment vertical="center"/>
    </xf>
    <xf numFmtId="1" fontId="31" fillId="13" borderId="23" xfId="8" applyNumberFormat="1" applyFont="1" applyFill="1">
      <alignment horizontal="left" vertical="center"/>
    </xf>
    <xf numFmtId="0" fontId="31" fillId="15" borderId="24" xfId="12" applyFont="1" applyFill="1"/>
    <xf numFmtId="170" fontId="31" fillId="15" borderId="24" xfId="2" applyNumberFormat="1" applyFont="1" applyFill="1" applyBorder="1"/>
    <xf numFmtId="9" fontId="31" fillId="15" borderId="24" xfId="1" applyFont="1" applyFill="1" applyBorder="1"/>
    <xf numFmtId="0" fontId="6" fillId="0" borderId="0" xfId="0" applyFont="1"/>
    <xf numFmtId="0" fontId="0" fillId="14" borderId="0" xfId="0" applyFill="1"/>
    <xf numFmtId="0" fontId="0" fillId="14" borderId="27" xfId="0" applyFill="1" applyBorder="1" applyAlignment="1">
      <alignment vertical="center"/>
    </xf>
    <xf numFmtId="0" fontId="6" fillId="14" borderId="0" xfId="0" applyFont="1" applyFill="1"/>
    <xf numFmtId="170" fontId="0" fillId="14" borderId="0" xfId="2" applyNumberFormat="1" applyFont="1" applyFill="1"/>
    <xf numFmtId="170" fontId="6" fillId="14" borderId="0" xfId="2" applyNumberFormat="1" applyFont="1" applyFill="1"/>
    <xf numFmtId="165" fontId="0" fillId="0" borderId="0" xfId="1" applyNumberFormat="1" applyFont="1"/>
    <xf numFmtId="9" fontId="30" fillId="12" borderId="0" xfId="1" applyFont="1" applyFill="1" applyAlignment="1">
      <alignment horizontal="right" vertical="center"/>
    </xf>
    <xf numFmtId="1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5" fontId="0" fillId="0" borderId="0" xfId="0" applyNumberFormat="1" applyProtection="1"/>
    <xf numFmtId="1" fontId="6" fillId="14" borderId="0" xfId="2" applyNumberFormat="1" applyFont="1" applyFill="1"/>
    <xf numFmtId="0" fontId="6" fillId="15" borderId="34" xfId="0" applyFont="1" applyFill="1" applyBorder="1"/>
    <xf numFmtId="165" fontId="6" fillId="15" borderId="34" xfId="1" applyNumberFormat="1" applyFont="1" applyFill="1" applyBorder="1"/>
    <xf numFmtId="0" fontId="6" fillId="3" borderId="0" xfId="0" applyFont="1" applyFill="1" applyAlignment="1">
      <alignment vertical="center"/>
    </xf>
    <xf numFmtId="0" fontId="12" fillId="16" borderId="0" xfId="0" applyFont="1" applyFill="1" applyAlignment="1">
      <alignment vertical="center"/>
    </xf>
    <xf numFmtId="0" fontId="0" fillId="16" borderId="0" xfId="0" applyFill="1" applyAlignment="1"/>
    <xf numFmtId="0" fontId="0" fillId="0" borderId="0" xfId="0" applyProtection="1">
      <protection locked="0"/>
    </xf>
    <xf numFmtId="0" fontId="0" fillId="2" borderId="43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2" borderId="4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32" fillId="3" borderId="0" xfId="0" applyFont="1" applyFill="1" applyProtection="1"/>
    <xf numFmtId="0" fontId="33" fillId="3" borderId="0" xfId="0" applyFont="1" applyFill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16" borderId="0" xfId="0" applyFill="1" applyBorder="1" applyProtection="1"/>
    <xf numFmtId="0" fontId="0" fillId="3" borderId="0" xfId="0" applyFill="1" applyBorder="1" applyProtection="1"/>
    <xf numFmtId="9" fontId="0" fillId="0" borderId="0" xfId="1" applyFont="1" applyBorder="1" applyProtection="1"/>
    <xf numFmtId="167" fontId="0" fillId="0" borderId="0" xfId="0" applyNumberFormat="1" applyBorder="1" applyProtection="1"/>
    <xf numFmtId="9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0" xfId="1" applyNumberFormat="1" applyFont="1" applyBorder="1" applyProtection="1"/>
    <xf numFmtId="171" fontId="0" fillId="0" borderId="0" xfId="0" applyNumberFormat="1" applyBorder="1" applyProtection="1"/>
    <xf numFmtId="1" fontId="6" fillId="3" borderId="0" xfId="0" applyNumberFormat="1" applyFont="1" applyFill="1" applyBorder="1" applyProtection="1"/>
    <xf numFmtId="0" fontId="0" fillId="5" borderId="0" xfId="0" applyFill="1" applyBorder="1" applyProtection="1"/>
    <xf numFmtId="170" fontId="0" fillId="5" borderId="0" xfId="2" applyNumberFormat="1" applyFont="1" applyFill="1" applyBorder="1" applyProtection="1"/>
    <xf numFmtId="0" fontId="0" fillId="15" borderId="0" xfId="0" applyFill="1" applyBorder="1" applyProtection="1"/>
    <xf numFmtId="170" fontId="0" fillId="15" borderId="0" xfId="2" applyNumberFormat="1" applyFont="1" applyFill="1" applyBorder="1" applyProtection="1"/>
    <xf numFmtId="9" fontId="0" fillId="5" borderId="0" xfId="1" applyFont="1" applyFill="1" applyBorder="1" applyProtection="1"/>
    <xf numFmtId="9" fontId="0" fillId="5" borderId="0" xfId="0" applyNumberFormat="1" applyFill="1" applyBorder="1" applyProtection="1"/>
    <xf numFmtId="165" fontId="0" fillId="5" borderId="0" xfId="1" applyNumberFormat="1" applyFont="1" applyFill="1" applyBorder="1" applyProtection="1"/>
    <xf numFmtId="0" fontId="12" fillId="16" borderId="0" xfId="0" applyFont="1" applyFill="1" applyBorder="1" applyProtection="1"/>
    <xf numFmtId="0" fontId="12" fillId="16" borderId="0" xfId="0" applyFont="1" applyFill="1" applyBorder="1" applyAlignment="1" applyProtection="1">
      <alignment horizontal="center" wrapText="1"/>
    </xf>
    <xf numFmtId="9" fontId="0" fillId="3" borderId="0" xfId="1" applyFont="1" applyFill="1" applyBorder="1" applyAlignment="1" applyProtection="1">
      <alignment horizontal="center"/>
    </xf>
    <xf numFmtId="170" fontId="22" fillId="12" borderId="50" xfId="2" applyNumberFormat="1" applyFont="1" applyFill="1" applyBorder="1" applyAlignment="1">
      <alignment vertical="center"/>
    </xf>
    <xf numFmtId="165" fontId="19" fillId="11" borderId="0" xfId="1" applyNumberFormat="1" applyFont="1" applyFill="1" applyAlignment="1" applyProtection="1">
      <alignment horizontal="center" vertical="center"/>
    </xf>
    <xf numFmtId="170" fontId="0" fillId="0" borderId="0" xfId="2" applyNumberFormat="1" applyFont="1" applyProtection="1"/>
    <xf numFmtId="0" fontId="35" fillId="16" borderId="0" xfId="0" applyFont="1" applyFill="1" applyBorder="1" applyProtection="1"/>
    <xf numFmtId="0" fontId="36" fillId="16" borderId="0" xfId="0" applyFont="1" applyFill="1" applyBorder="1" applyProtection="1"/>
    <xf numFmtId="0" fontId="37" fillId="16" borderId="0" xfId="0" applyFont="1" applyFill="1" applyBorder="1" applyProtection="1"/>
    <xf numFmtId="167" fontId="0" fillId="15" borderId="0" xfId="0" applyNumberFormat="1" applyFill="1" applyBorder="1" applyProtection="1"/>
    <xf numFmtId="3" fontId="0" fillId="15" borderId="0" xfId="0" applyNumberFormat="1" applyFill="1" applyBorder="1" applyProtection="1"/>
    <xf numFmtId="2" fontId="0" fillId="15" borderId="0" xfId="0" applyNumberFormat="1" applyFill="1" applyBorder="1" applyProtection="1"/>
    <xf numFmtId="9" fontId="0" fillId="15" borderId="0" xfId="1" applyFont="1" applyFill="1" applyBorder="1" applyProtection="1"/>
    <xf numFmtId="170" fontId="12" fillId="6" borderId="0" xfId="2" applyNumberFormat="1" applyFont="1" applyFill="1" applyBorder="1"/>
    <xf numFmtId="170" fontId="6" fillId="3" borderId="19" xfId="2" applyNumberFormat="1" applyFont="1" applyFill="1" applyBorder="1" applyAlignment="1">
      <alignment horizontal="center"/>
    </xf>
    <xf numFmtId="173" fontId="0" fillId="3" borderId="0" xfId="0" applyNumberFormat="1" applyFill="1" applyBorder="1"/>
    <xf numFmtId="0" fontId="0" fillId="17" borderId="0" xfId="0" applyFill="1" applyBorder="1" applyProtection="1"/>
    <xf numFmtId="0" fontId="0" fillId="0" borderId="0" xfId="0" applyFill="1" applyProtection="1"/>
    <xf numFmtId="0" fontId="33" fillId="5" borderId="30" xfId="0" applyFont="1" applyFill="1" applyBorder="1" applyProtection="1"/>
    <xf numFmtId="0" fontId="0" fillId="5" borderId="35" xfId="0" applyFill="1" applyBorder="1" applyProtection="1"/>
    <xf numFmtId="0" fontId="0" fillId="5" borderId="30" xfId="0" applyFill="1" applyBorder="1" applyProtection="1"/>
    <xf numFmtId="0" fontId="0" fillId="5" borderId="36" xfId="0" applyFill="1" applyBorder="1" applyProtection="1"/>
    <xf numFmtId="0" fontId="0" fillId="5" borderId="38" xfId="0" applyFill="1" applyBorder="1" applyProtection="1"/>
    <xf numFmtId="0" fontId="0" fillId="5" borderId="44" xfId="0" applyFill="1" applyBorder="1" applyProtection="1"/>
    <xf numFmtId="0" fontId="0" fillId="5" borderId="41" xfId="0" applyFill="1" applyBorder="1" applyProtection="1"/>
    <xf numFmtId="0" fontId="0" fillId="5" borderId="39" xfId="0" applyFill="1" applyBorder="1" applyProtection="1"/>
    <xf numFmtId="0" fontId="0" fillId="5" borderId="40" xfId="0" applyFill="1" applyBorder="1" applyProtection="1">
      <protection locked="0"/>
    </xf>
    <xf numFmtId="0" fontId="0" fillId="5" borderId="36" xfId="0" applyFont="1" applyFill="1" applyBorder="1" applyProtection="1"/>
    <xf numFmtId="0" fontId="0" fillId="5" borderId="13" xfId="0" applyFill="1" applyBorder="1" applyProtection="1"/>
    <xf numFmtId="0" fontId="0" fillId="5" borderId="40" xfId="0" applyFill="1" applyBorder="1" applyProtection="1"/>
    <xf numFmtId="0" fontId="0" fillId="5" borderId="42" xfId="0" applyFill="1" applyBorder="1" applyProtection="1"/>
    <xf numFmtId="0" fontId="0" fillId="5" borderId="45" xfId="0" applyFill="1" applyBorder="1" applyProtection="1"/>
    <xf numFmtId="0" fontId="34" fillId="5" borderId="36" xfId="0" applyFont="1" applyFill="1" applyBorder="1" applyProtection="1"/>
    <xf numFmtId="0" fontId="34" fillId="5" borderId="35" xfId="0" applyFont="1" applyFill="1" applyBorder="1" applyProtection="1"/>
    <xf numFmtId="0" fontId="0" fillId="5" borderId="47" xfId="0" applyFill="1" applyBorder="1" applyAlignment="1" applyProtection="1">
      <alignment horizontal="left" wrapText="1"/>
    </xf>
    <xf numFmtId="0" fontId="0" fillId="5" borderId="46" xfId="0" applyFill="1" applyBorder="1" applyAlignment="1" applyProtection="1">
      <alignment horizontal="left" wrapText="1"/>
    </xf>
    <xf numFmtId="0" fontId="0" fillId="5" borderId="47" xfId="0" applyFill="1" applyBorder="1" applyProtection="1"/>
    <xf numFmtId="0" fontId="0" fillId="5" borderId="48" xfId="0" applyFill="1" applyBorder="1" applyAlignment="1" applyProtection="1">
      <alignment wrapText="1"/>
    </xf>
    <xf numFmtId="0" fontId="0" fillId="5" borderId="46" xfId="0" applyFill="1" applyBorder="1" applyAlignment="1" applyProtection="1">
      <alignment wrapText="1"/>
    </xf>
    <xf numFmtId="9" fontId="0" fillId="0" borderId="0" xfId="0" applyNumberFormat="1" applyBorder="1" applyProtection="1">
      <protection locked="0"/>
    </xf>
    <xf numFmtId="0" fontId="0" fillId="17" borderId="0" xfId="0" applyFill="1" applyProtection="1"/>
    <xf numFmtId="0" fontId="0" fillId="5" borderId="39" xfId="0" applyFill="1" applyBorder="1" applyAlignment="1" applyProtection="1">
      <alignment wrapText="1"/>
    </xf>
    <xf numFmtId="0" fontId="0" fillId="5" borderId="35" xfId="0" applyFill="1" applyBorder="1" applyAlignment="1" applyProtection="1"/>
    <xf numFmtId="0" fontId="0" fillId="17" borderId="0" xfId="0" applyFill="1" applyBorder="1" applyAlignment="1" applyProtection="1">
      <alignment wrapText="1"/>
    </xf>
    <xf numFmtId="0" fontId="0" fillId="17" borderId="0" xfId="0" applyFill="1" applyBorder="1" applyAlignment="1" applyProtection="1"/>
    <xf numFmtId="0" fontId="0" fillId="2" borderId="42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12" fillId="16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12" borderId="0" xfId="7" applyProtection="1">
      <alignment horizontal="left" vertical="center"/>
    </xf>
    <xf numFmtId="1" fontId="31" fillId="13" borderId="23" xfId="8" applyNumberFormat="1" applyFont="1" applyFill="1" applyProtection="1">
      <alignment horizontal="left" vertical="center"/>
    </xf>
    <xf numFmtId="0" fontId="0" fillId="13" borderId="0" xfId="0" applyFill="1" applyAlignment="1" applyProtection="1">
      <alignment vertical="center"/>
    </xf>
    <xf numFmtId="0" fontId="26" fillId="12" borderId="0" xfId="9" applyProtection="1"/>
    <xf numFmtId="9" fontId="30" fillId="12" borderId="0" xfId="1" applyFont="1" applyFill="1" applyAlignment="1" applyProtection="1">
      <alignment horizontal="right" vertical="center"/>
    </xf>
    <xf numFmtId="1" fontId="0" fillId="0" borderId="0" xfId="0" applyNumberFormat="1" applyProtection="1"/>
    <xf numFmtId="170" fontId="30" fillId="12" borderId="0" xfId="2" applyNumberFormat="1" applyFont="1" applyFill="1" applyAlignment="1" applyProtection="1">
      <alignment horizontal="right" vertical="center"/>
    </xf>
    <xf numFmtId="9" fontId="0" fillId="0" borderId="0" xfId="0" applyNumberFormat="1" applyProtection="1"/>
    <xf numFmtId="9" fontId="30" fillId="12" borderId="0" xfId="1" applyNumberFormat="1" applyFont="1" applyFill="1" applyAlignment="1" applyProtection="1">
      <alignment horizontal="right" vertical="center"/>
    </xf>
    <xf numFmtId="2" fontId="27" fillId="0" borderId="0" xfId="10" applyFill="1" applyProtection="1">
      <alignment horizontal="left" vertical="center"/>
    </xf>
    <xf numFmtId="170" fontId="0" fillId="0" borderId="0" xfId="2" applyNumberFormat="1" applyFont="1" applyAlignment="1" applyProtection="1">
      <alignment vertical="center"/>
    </xf>
    <xf numFmtId="0" fontId="21" fillId="12" borderId="21" xfId="4" applyFill="1" applyProtection="1"/>
    <xf numFmtId="170" fontId="21" fillId="12" borderId="21" xfId="2" applyNumberFormat="1" applyFont="1" applyFill="1" applyBorder="1" applyAlignment="1" applyProtection="1">
      <alignment vertical="center"/>
    </xf>
    <xf numFmtId="0" fontId="22" fillId="12" borderId="24" xfId="5" applyFill="1" applyBorder="1" applyAlignment="1" applyProtection="1">
      <alignment horizontal="right"/>
    </xf>
    <xf numFmtId="0" fontId="22" fillId="12" borderId="0" xfId="6" applyFont="1" applyFill="1" applyBorder="1" applyAlignment="1" applyProtection="1">
      <alignment vertical="center"/>
    </xf>
    <xf numFmtId="170" fontId="22" fillId="12" borderId="26" xfId="2" applyNumberFormat="1" applyFont="1" applyFill="1" applyBorder="1" applyAlignment="1" applyProtection="1">
      <alignment vertical="center"/>
    </xf>
    <xf numFmtId="0" fontId="22" fillId="12" borderId="26" xfId="6" applyFont="1" applyFill="1" applyBorder="1" applyAlignment="1" applyProtection="1">
      <alignment vertical="center"/>
    </xf>
    <xf numFmtId="0" fontId="0" fillId="14" borderId="27" xfId="0" applyFill="1" applyBorder="1" applyAlignment="1" applyProtection="1">
      <alignment vertical="center"/>
    </xf>
    <xf numFmtId="170" fontId="23" fillId="14" borderId="30" xfId="2" applyNumberFormat="1" applyFont="1" applyFill="1" applyBorder="1" applyAlignment="1" applyProtection="1">
      <alignment vertical="center"/>
    </xf>
    <xf numFmtId="9" fontId="0" fillId="14" borderId="27" xfId="1" applyNumberFormat="1" applyFont="1" applyFill="1" applyBorder="1" applyAlignment="1" applyProtection="1">
      <alignment vertical="center"/>
    </xf>
    <xf numFmtId="170" fontId="23" fillId="14" borderId="32" xfId="2" applyNumberFormat="1" applyFont="1" applyFill="1" applyBorder="1" applyAlignment="1" applyProtection="1">
      <alignment vertical="center"/>
    </xf>
    <xf numFmtId="170" fontId="23" fillId="14" borderId="31" xfId="2" applyNumberFormat="1" applyFont="1" applyFill="1" applyBorder="1" applyAlignment="1" applyProtection="1">
      <alignment vertical="center"/>
    </xf>
    <xf numFmtId="0" fontId="22" fillId="12" borderId="28" xfId="0" applyFont="1" applyFill="1" applyBorder="1" applyAlignment="1" applyProtection="1">
      <alignment vertical="center"/>
    </xf>
    <xf numFmtId="170" fontId="24" fillId="12" borderId="29" xfId="0" applyNumberFormat="1" applyFont="1" applyFill="1" applyBorder="1" applyAlignment="1" applyProtection="1">
      <alignment vertical="center"/>
    </xf>
    <xf numFmtId="9" fontId="24" fillId="12" borderId="25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4" fillId="12" borderId="28" xfId="0" applyFont="1" applyFill="1" applyBorder="1" applyAlignment="1" applyProtection="1">
      <alignment vertical="center"/>
    </xf>
    <xf numFmtId="165" fontId="24" fillId="12" borderId="25" xfId="0" applyNumberFormat="1" applyFont="1" applyFill="1" applyBorder="1" applyAlignment="1" applyProtection="1">
      <alignment vertical="center"/>
    </xf>
    <xf numFmtId="0" fontId="31" fillId="15" borderId="24" xfId="12" applyFont="1" applyFill="1" applyProtection="1"/>
    <xf numFmtId="170" fontId="31" fillId="15" borderId="24" xfId="2" applyNumberFormat="1" applyFont="1" applyFill="1" applyBorder="1" applyProtection="1"/>
    <xf numFmtId="9" fontId="31" fillId="15" borderId="24" xfId="1" applyFont="1" applyFill="1" applyBorder="1" applyProtection="1"/>
    <xf numFmtId="0" fontId="29" fillId="12" borderId="0" xfId="13" applyProtection="1">
      <alignment vertical="center"/>
    </xf>
    <xf numFmtId="170" fontId="29" fillId="12" borderId="0" xfId="2" applyNumberFormat="1" applyFont="1" applyFill="1" applyAlignment="1" applyProtection="1">
      <alignment vertical="center"/>
    </xf>
    <xf numFmtId="9" fontId="29" fillId="12" borderId="0" xfId="1" applyFont="1" applyFill="1" applyAlignment="1" applyProtection="1">
      <alignment vertical="center"/>
    </xf>
    <xf numFmtId="170" fontId="21" fillId="12" borderId="21" xfId="2" applyNumberFormat="1" applyFont="1" applyFill="1" applyBorder="1" applyProtection="1"/>
    <xf numFmtId="170" fontId="22" fillId="12" borderId="50" xfId="2" applyNumberFormat="1" applyFont="1" applyFill="1" applyBorder="1" applyAlignment="1" applyProtection="1">
      <alignment vertical="center"/>
    </xf>
    <xf numFmtId="0" fontId="22" fillId="12" borderId="28" xfId="6" applyFont="1" applyFill="1" applyBorder="1" applyAlignment="1" applyProtection="1">
      <alignment vertical="center"/>
    </xf>
    <xf numFmtId="170" fontId="24" fillId="12" borderId="29" xfId="2" applyNumberFormat="1" applyFont="1" applyFill="1" applyBorder="1" applyAlignment="1" applyProtection="1">
      <alignment vertical="center"/>
    </xf>
    <xf numFmtId="9" fontId="24" fillId="12" borderId="25" xfId="1" applyNumberFormat="1" applyFont="1" applyFill="1" applyBorder="1" applyAlignment="1" applyProtection="1">
      <alignment vertical="center"/>
    </xf>
    <xf numFmtId="170" fontId="0" fillId="0" borderId="0" xfId="0" applyNumberFormat="1" applyProtection="1"/>
    <xf numFmtId="165" fontId="0" fillId="0" borderId="0" xfId="1" applyNumberFormat="1" applyFont="1" applyProtection="1"/>
    <xf numFmtId="0" fontId="6" fillId="15" borderId="34" xfId="0" applyFont="1" applyFill="1" applyBorder="1" applyProtection="1"/>
    <xf numFmtId="165" fontId="6" fillId="15" borderId="34" xfId="1" applyNumberFormat="1" applyFont="1" applyFill="1" applyBorder="1" applyProtection="1"/>
    <xf numFmtId="0" fontId="0" fillId="2" borderId="0" xfId="0" applyFill="1" applyProtection="1">
      <protection locked="0"/>
    </xf>
    <xf numFmtId="165" fontId="0" fillId="2" borderId="0" xfId="0" applyNumberForma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0" xfId="1" applyFont="1" applyFill="1" applyProtection="1">
      <protection locked="0"/>
    </xf>
    <xf numFmtId="10" fontId="0" fillId="2" borderId="0" xfId="1" applyNumberFormat="1" applyFont="1" applyFill="1" applyProtection="1">
      <protection locked="0"/>
    </xf>
    <xf numFmtId="171" fontId="19" fillId="2" borderId="0" xfId="0" applyNumberFormat="1" applyFont="1" applyFill="1" applyAlignment="1" applyProtection="1">
      <alignment horizontal="center" vertical="center"/>
      <protection locked="0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9" fillId="2" borderId="0" xfId="0" applyNumberFormat="1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Protection="1"/>
    <xf numFmtId="0" fontId="2" fillId="3" borderId="8" xfId="0" applyFont="1" applyFill="1" applyBorder="1" applyAlignment="1" applyProtection="1"/>
    <xf numFmtId="0" fontId="0" fillId="3" borderId="16" xfId="0" applyFill="1" applyBorder="1" applyProtection="1"/>
    <xf numFmtId="167" fontId="3" fillId="3" borderId="16" xfId="0" applyNumberFormat="1" applyFont="1" applyFill="1" applyBorder="1" applyAlignment="1" applyProtection="1">
      <alignment horizontal="right"/>
    </xf>
    <xf numFmtId="167" fontId="6" fillId="3" borderId="9" xfId="0" applyNumberFormat="1" applyFont="1" applyFill="1" applyBorder="1" applyProtection="1"/>
    <xf numFmtId="0" fontId="6" fillId="3" borderId="16" xfId="0" applyFont="1" applyFill="1" applyBorder="1" applyProtection="1"/>
    <xf numFmtId="167" fontId="2" fillId="3" borderId="16" xfId="0" applyNumberFormat="1" applyFont="1" applyFill="1" applyBorder="1" applyAlignment="1" applyProtection="1"/>
    <xf numFmtId="0" fontId="3" fillId="3" borderId="12" xfId="0" applyFont="1" applyFill="1" applyBorder="1" applyAlignment="1" applyProtection="1"/>
    <xf numFmtId="0" fontId="0" fillId="3" borderId="13" xfId="0" applyFill="1" applyBorder="1" applyProtection="1"/>
    <xf numFmtId="0" fontId="3" fillId="3" borderId="0" xfId="0" applyFont="1" applyFill="1" applyBorder="1" applyAlignment="1" applyProtection="1">
      <alignment horizontal="left"/>
    </xf>
    <xf numFmtId="0" fontId="5" fillId="3" borderId="8" xfId="0" applyFont="1" applyFill="1" applyBorder="1" applyAlignment="1" applyProtection="1"/>
    <xf numFmtId="0" fontId="3" fillId="3" borderId="16" xfId="0" applyFont="1" applyFill="1" applyBorder="1" applyAlignment="1" applyProtection="1"/>
    <xf numFmtId="0" fontId="0" fillId="3" borderId="9" xfId="0" applyFill="1" applyBorder="1" applyProtection="1"/>
    <xf numFmtId="0" fontId="0" fillId="3" borderId="10" xfId="0" applyNumberFormat="1" applyFont="1" applyFill="1" applyBorder="1" applyAlignment="1" applyProtection="1"/>
    <xf numFmtId="0" fontId="0" fillId="3" borderId="3" xfId="0" applyFill="1" applyBorder="1" applyProtection="1"/>
    <xf numFmtId="0" fontId="3" fillId="3" borderId="10" xfId="0" applyFont="1" applyFill="1" applyBorder="1" applyAlignment="1" applyProtection="1"/>
    <xf numFmtId="0" fontId="0" fillId="3" borderId="11" xfId="0" applyFill="1" applyBorder="1" applyProtection="1"/>
    <xf numFmtId="0" fontId="6" fillId="3" borderId="8" xfId="0" applyNumberFormat="1" applyFont="1" applyFill="1" applyBorder="1" applyAlignment="1" applyProtection="1"/>
    <xf numFmtId="167" fontId="2" fillId="3" borderId="16" xfId="0" applyNumberFormat="1" applyFont="1" applyFill="1" applyBorder="1" applyAlignment="1" applyProtection="1">
      <alignment horizontal="center"/>
    </xf>
    <xf numFmtId="167" fontId="3" fillId="3" borderId="16" xfId="0" applyNumberFormat="1" applyFont="1" applyFill="1" applyBorder="1" applyAlignment="1" applyProtection="1"/>
    <xf numFmtId="0" fontId="0" fillId="3" borderId="12" xfId="0" applyNumberFormat="1" applyFont="1" applyFill="1" applyBorder="1" applyAlignment="1" applyProtection="1"/>
    <xf numFmtId="167" fontId="0" fillId="3" borderId="13" xfId="0" applyNumberFormat="1" applyFill="1" applyBorder="1" applyProtection="1"/>
    <xf numFmtId="0" fontId="0" fillId="3" borderId="12" xfId="0" applyFill="1" applyBorder="1" applyProtection="1"/>
    <xf numFmtId="167" fontId="0" fillId="3" borderId="11" xfId="0" applyNumberFormat="1" applyFill="1" applyBorder="1" applyProtection="1"/>
    <xf numFmtId="0" fontId="2" fillId="3" borderId="12" xfId="0" applyFont="1" applyFill="1" applyBorder="1" applyAlignment="1" applyProtection="1"/>
    <xf numFmtId="0" fontId="0" fillId="3" borderId="0" xfId="0" applyFont="1" applyFill="1" applyBorder="1" applyProtection="1"/>
    <xf numFmtId="167" fontId="6" fillId="3" borderId="13" xfId="0" applyNumberFormat="1" applyFont="1" applyFill="1" applyBorder="1" applyProtection="1"/>
    <xf numFmtId="0" fontId="0" fillId="3" borderId="10" xfId="0" applyFill="1" applyBorder="1" applyProtection="1"/>
    <xf numFmtId="0" fontId="6" fillId="3" borderId="0" xfId="0" applyFont="1" applyFill="1" applyBorder="1" applyProtection="1"/>
    <xf numFmtId="167" fontId="2" fillId="3" borderId="0" xfId="0" applyNumberFormat="1" applyFont="1" applyFill="1" applyBorder="1" applyAlignment="1" applyProtection="1"/>
    <xf numFmtId="0" fontId="3" fillId="3" borderId="0" xfId="0" applyFont="1" applyFill="1" applyBorder="1" applyAlignment="1" applyProtection="1"/>
    <xf numFmtId="167" fontId="9" fillId="3" borderId="16" xfId="0" applyNumberFormat="1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/>
    <xf numFmtId="0" fontId="42" fillId="3" borderId="8" xfId="0" applyFont="1" applyFill="1" applyBorder="1" applyProtection="1"/>
    <xf numFmtId="0" fontId="41" fillId="0" borderId="0" xfId="0" applyFont="1" applyBorder="1" applyProtection="1"/>
    <xf numFmtId="167" fontId="0" fillId="3" borderId="3" xfId="0" applyNumberFormat="1" applyFill="1" applyBorder="1" applyProtection="1"/>
    <xf numFmtId="0" fontId="2" fillId="3" borderId="10" xfId="0" applyFont="1" applyFill="1" applyBorder="1" applyAlignment="1" applyProtection="1"/>
    <xf numFmtId="0" fontId="6" fillId="3" borderId="3" xfId="0" applyFont="1" applyFill="1" applyBorder="1" applyProtection="1"/>
    <xf numFmtId="167" fontId="2" fillId="3" borderId="3" xfId="0" applyNumberFormat="1" applyFont="1" applyFill="1" applyBorder="1" applyAlignment="1" applyProtection="1"/>
    <xf numFmtId="167" fontId="6" fillId="3" borderId="11" xfId="0" applyNumberFormat="1" applyFont="1" applyFill="1" applyBorder="1" applyProtection="1"/>
    <xf numFmtId="0" fontId="38" fillId="0" borderId="0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right" vertical="center" wrapText="1"/>
    </xf>
    <xf numFmtId="0" fontId="40" fillId="0" borderId="0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vertical="center" wrapText="1"/>
    </xf>
    <xf numFmtId="172" fontId="0" fillId="0" borderId="0" xfId="2" applyNumberFormat="1" applyFont="1" applyProtection="1"/>
    <xf numFmtId="167" fontId="3" fillId="2" borderId="0" xfId="0" applyNumberFormat="1" applyFont="1" applyFill="1" applyBorder="1" applyAlignment="1" applyProtection="1">
      <alignment horizontal="right"/>
      <protection locked="0"/>
    </xf>
    <xf numFmtId="167" fontId="3" fillId="2" borderId="3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7" fontId="9" fillId="2" borderId="0" xfId="0" applyNumberFormat="1" applyFont="1" applyFill="1" applyBorder="1" applyAlignment="1" applyProtection="1">
      <alignment horizontal="right"/>
      <protection locked="0"/>
    </xf>
    <xf numFmtId="167" fontId="8" fillId="2" borderId="0" xfId="0" applyNumberFormat="1" applyFont="1" applyFill="1" applyBorder="1" applyAlignment="1" applyProtection="1">
      <alignment horizontal="right"/>
      <protection locked="0"/>
    </xf>
    <xf numFmtId="167" fontId="8" fillId="2" borderId="3" xfId="0" applyNumberFormat="1" applyFont="1" applyFill="1" applyBorder="1" applyAlignment="1" applyProtection="1">
      <alignment horizontal="right"/>
      <protection locked="0"/>
    </xf>
    <xf numFmtId="0" fontId="0" fillId="2" borderId="0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167" fontId="3" fillId="2" borderId="0" xfId="0" applyNumberFormat="1" applyFont="1" applyFill="1" applyBorder="1" applyAlignment="1" applyProtection="1">
      <protection locked="0"/>
    </xf>
    <xf numFmtId="167" fontId="3" fillId="2" borderId="3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167" fontId="2" fillId="2" borderId="0" xfId="0" applyNumberFormat="1" applyFont="1" applyFill="1" applyBorder="1" applyAlignment="1" applyProtection="1">
      <protection locked="0"/>
    </xf>
    <xf numFmtId="167" fontId="0" fillId="3" borderId="0" xfId="0" applyNumberFormat="1" applyFill="1" applyProtection="1"/>
    <xf numFmtId="0" fontId="5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4" fontId="3" fillId="0" borderId="0" xfId="0" applyNumberFormat="1" applyFont="1" applyAlignment="1" applyProtection="1"/>
    <xf numFmtId="4" fontId="3" fillId="0" borderId="0" xfId="0" applyNumberFormat="1" applyFont="1" applyAlignment="1" applyProtection="1">
      <alignment horizontal="center"/>
    </xf>
    <xf numFmtId="0" fontId="5" fillId="3" borderId="17" xfId="0" applyFont="1" applyFill="1" applyBorder="1" applyAlignment="1" applyProtection="1"/>
    <xf numFmtId="0" fontId="2" fillId="3" borderId="2" xfId="0" applyFont="1" applyFill="1" applyBorder="1" applyAlignment="1" applyProtection="1">
      <alignment wrapText="1"/>
    </xf>
    <xf numFmtId="9" fontId="2" fillId="3" borderId="18" xfId="0" applyNumberFormat="1" applyFont="1" applyFill="1" applyBorder="1" applyAlignment="1" applyProtection="1">
      <alignment horizontal="right"/>
    </xf>
    <xf numFmtId="0" fontId="6" fillId="5" borderId="19" xfId="0" applyFont="1" applyFill="1" applyBorder="1" applyAlignment="1" applyProtection="1">
      <alignment horizontal="center" wrapText="1"/>
    </xf>
    <xf numFmtId="0" fontId="6" fillId="3" borderId="19" xfId="0" applyFont="1" applyFill="1" applyBorder="1" applyAlignment="1" applyProtection="1">
      <alignment horizontal="center"/>
    </xf>
    <xf numFmtId="167" fontId="3" fillId="3" borderId="13" xfId="0" applyNumberFormat="1" applyFont="1" applyFill="1" applyBorder="1" applyAlignment="1" applyProtection="1"/>
    <xf numFmtId="10" fontId="0" fillId="3" borderId="5" xfId="1" applyNumberFormat="1" applyFont="1" applyFill="1" applyBorder="1" applyProtection="1"/>
    <xf numFmtId="10" fontId="3" fillId="0" borderId="0" xfId="0" applyNumberFormat="1" applyFont="1" applyAlignment="1" applyProtection="1"/>
    <xf numFmtId="10" fontId="0" fillId="3" borderId="7" xfId="1" applyNumberFormat="1" applyFont="1" applyFill="1" applyBorder="1" applyProtection="1"/>
    <xf numFmtId="10" fontId="3" fillId="0" borderId="0" xfId="0" applyNumberFormat="1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0" fontId="2" fillId="3" borderId="14" xfId="0" applyFont="1" applyFill="1" applyBorder="1" applyAlignment="1" applyProtection="1"/>
    <xf numFmtId="165" fontId="2" fillId="3" borderId="1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/>
    <xf numFmtId="10" fontId="0" fillId="3" borderId="19" xfId="0" applyNumberFormat="1" applyFill="1" applyBorder="1" applyAlignment="1" applyProtection="1">
      <alignment horizontal="center"/>
    </xf>
    <xf numFmtId="165" fontId="0" fillId="3" borderId="19" xfId="1" applyNumberFormat="1" applyFont="1" applyFill="1" applyBorder="1" applyProtection="1"/>
    <xf numFmtId="0" fontId="0" fillId="0" borderId="0" xfId="0" applyAlignment="1" applyProtection="1"/>
    <xf numFmtId="9" fontId="3" fillId="3" borderId="0" xfId="1" applyFont="1" applyFill="1" applyBorder="1" applyAlignment="1" applyProtection="1">
      <alignment horizontal="center"/>
    </xf>
    <xf numFmtId="0" fontId="0" fillId="10" borderId="7" xfId="0" applyFill="1" applyBorder="1" applyProtection="1"/>
    <xf numFmtId="167" fontId="0" fillId="0" borderId="0" xfId="0" applyNumberFormat="1" applyProtection="1"/>
    <xf numFmtId="9" fontId="3" fillId="3" borderId="3" xfId="1" applyFont="1" applyFill="1" applyBorder="1" applyAlignment="1" applyProtection="1">
      <alignment horizontal="center"/>
    </xf>
    <xf numFmtId="0" fontId="0" fillId="10" borderId="6" xfId="0" applyFill="1" applyBorder="1" applyProtection="1"/>
    <xf numFmtId="10" fontId="0" fillId="3" borderId="6" xfId="1" applyNumberFormat="1" applyFont="1" applyFill="1" applyBorder="1" applyProtection="1"/>
    <xf numFmtId="9" fontId="0" fillId="0" borderId="0" xfId="1" applyFont="1" applyProtection="1"/>
    <xf numFmtId="0" fontId="3" fillId="3" borderId="17" xfId="0" applyFont="1" applyFill="1" applyBorder="1" applyAlignment="1" applyProtection="1"/>
    <xf numFmtId="9" fontId="3" fillId="3" borderId="2" xfId="1" applyFont="1" applyFill="1" applyBorder="1" applyAlignment="1" applyProtection="1">
      <alignment horizontal="center"/>
    </xf>
    <xf numFmtId="167" fontId="3" fillId="3" borderId="18" xfId="0" applyNumberFormat="1" applyFont="1" applyFill="1" applyBorder="1" applyAlignment="1" applyProtection="1"/>
    <xf numFmtId="0" fontId="0" fillId="10" borderId="5" xfId="0" applyFill="1" applyBorder="1" applyProtection="1"/>
    <xf numFmtId="0" fontId="0" fillId="8" borderId="5" xfId="0" applyFill="1" applyBorder="1" applyProtection="1"/>
    <xf numFmtId="167" fontId="0" fillId="0" borderId="0" xfId="0" applyNumberFormat="1" applyAlignment="1" applyProtection="1">
      <alignment horizontal="center"/>
    </xf>
    <xf numFmtId="0" fontId="0" fillId="8" borderId="7" xfId="0" applyFill="1" applyBorder="1" applyProtection="1"/>
    <xf numFmtId="0" fontId="2" fillId="3" borderId="17" xfId="0" applyFont="1" applyFill="1" applyBorder="1" applyAlignment="1" applyProtection="1"/>
    <xf numFmtId="9" fontId="6" fillId="3" borderId="2" xfId="0" applyNumberFormat="1" applyFont="1" applyFill="1" applyBorder="1" applyAlignment="1" applyProtection="1">
      <alignment horizontal="center"/>
    </xf>
    <xf numFmtId="167" fontId="6" fillId="3" borderId="2" xfId="0" applyNumberFormat="1" applyFont="1" applyFill="1" applyBorder="1" applyProtection="1"/>
    <xf numFmtId="10" fontId="3" fillId="3" borderId="19" xfId="0" applyNumberFormat="1" applyFont="1" applyFill="1" applyBorder="1" applyAlignment="1" applyProtection="1"/>
    <xf numFmtId="9" fontId="3" fillId="0" borderId="0" xfId="0" applyNumberFormat="1" applyFont="1" applyFill="1" applyAlignment="1" applyProtection="1"/>
    <xf numFmtId="0" fontId="3" fillId="0" borderId="0" xfId="0" applyFont="1" applyFill="1" applyAlignment="1" applyProtection="1"/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65" fontId="3" fillId="0" borderId="0" xfId="0" applyNumberFormat="1" applyFont="1" applyFill="1" applyAlignment="1" applyProtection="1"/>
    <xf numFmtId="167" fontId="2" fillId="3" borderId="15" xfId="0" applyNumberFormat="1" applyFont="1" applyFill="1" applyBorder="1" applyAlignment="1" applyProtection="1"/>
    <xf numFmtId="10" fontId="6" fillId="3" borderId="6" xfId="0" applyNumberFormat="1" applyFont="1" applyFill="1" applyBorder="1" applyProtection="1"/>
    <xf numFmtId="9" fontId="3" fillId="0" borderId="0" xfId="0" applyNumberFormat="1" applyFont="1" applyAlignment="1" applyProtection="1"/>
    <xf numFmtId="0" fontId="2" fillId="3" borderId="5" xfId="0" applyFont="1" applyFill="1" applyBorder="1" applyAlignment="1" applyProtection="1">
      <alignment wrapText="1"/>
    </xf>
    <xf numFmtId="0" fontId="0" fillId="3" borderId="8" xfId="0" applyFill="1" applyBorder="1" applyAlignment="1" applyProtection="1">
      <alignment horizontal="center" wrapText="1"/>
    </xf>
    <xf numFmtId="0" fontId="0" fillId="3" borderId="16" xfId="0" applyFill="1" applyBorder="1" applyAlignment="1" applyProtection="1">
      <alignment horizontal="center" wrapText="1"/>
    </xf>
    <xf numFmtId="0" fontId="0" fillId="3" borderId="9" xfId="0" applyFill="1" applyBorder="1" applyAlignment="1" applyProtection="1">
      <alignment horizontal="center" wrapText="1"/>
    </xf>
    <xf numFmtId="0" fontId="0" fillId="3" borderId="5" xfId="0" applyFill="1" applyBorder="1" applyAlignment="1" applyProtection="1">
      <alignment horizontal="center" wrapText="1"/>
    </xf>
    <xf numFmtId="0" fontId="3" fillId="3" borderId="8" xfId="0" applyFont="1" applyFill="1" applyBorder="1" applyAlignment="1" applyProtection="1">
      <alignment wrapText="1"/>
    </xf>
    <xf numFmtId="0" fontId="3" fillId="3" borderId="16" xfId="0" applyFont="1" applyFill="1" applyBorder="1" applyAlignment="1" applyProtection="1">
      <alignment wrapText="1"/>
    </xf>
    <xf numFmtId="0" fontId="3" fillId="3" borderId="9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3" fillId="3" borderId="10" xfId="0" applyNumberFormat="1" applyFont="1" applyFill="1" applyBorder="1" applyAlignment="1" applyProtection="1">
      <alignment horizontal="center" wrapText="1"/>
    </xf>
    <xf numFmtId="0" fontId="3" fillId="3" borderId="3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" wrapText="1"/>
    </xf>
    <xf numFmtId="0" fontId="3" fillId="3" borderId="10" xfId="0" applyFon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 wrapText="1"/>
    </xf>
    <xf numFmtId="0" fontId="0" fillId="3" borderId="11" xfId="0" applyFill="1" applyBorder="1" applyAlignment="1" applyProtection="1">
      <alignment horizontal="center" wrapText="1"/>
    </xf>
    <xf numFmtId="0" fontId="0" fillId="3" borderId="6" xfId="0" applyFill="1" applyBorder="1" applyAlignment="1" applyProtection="1">
      <alignment horizontal="center" wrapText="1"/>
    </xf>
    <xf numFmtId="0" fontId="3" fillId="3" borderId="11" xfId="0" applyFont="1" applyFill="1" applyBorder="1" applyAlignment="1" applyProtection="1"/>
    <xf numFmtId="0" fontId="0" fillId="3" borderId="7" xfId="0" applyFill="1" applyBorder="1" applyAlignment="1" applyProtection="1">
      <alignment wrapText="1"/>
    </xf>
    <xf numFmtId="0" fontId="3" fillId="3" borderId="12" xfId="0" applyNumberFormat="1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horizontal="center" wrapText="1"/>
    </xf>
    <xf numFmtId="0" fontId="4" fillId="3" borderId="13" xfId="0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167" fontId="14" fillId="3" borderId="7" xfId="0" applyNumberFormat="1" applyFont="1" applyFill="1" applyBorder="1" applyAlignment="1" applyProtection="1">
      <alignment horizontal="center" wrapText="1"/>
    </xf>
    <xf numFmtId="0" fontId="3" fillId="3" borderId="13" xfId="0" applyFont="1" applyFill="1" applyBorder="1" applyAlignment="1" applyProtection="1"/>
    <xf numFmtId="0" fontId="3" fillId="3" borderId="7" xfId="0" applyFont="1" applyFill="1" applyBorder="1" applyAlignment="1" applyProtection="1"/>
    <xf numFmtId="10" fontId="3" fillId="3" borderId="12" xfId="0" applyNumberFormat="1" applyFont="1" applyFill="1" applyBorder="1" applyAlignment="1" applyProtection="1">
      <alignment horizontal="center"/>
    </xf>
    <xf numFmtId="167" fontId="3" fillId="3" borderId="0" xfId="0" applyNumberFormat="1" applyFont="1" applyFill="1" applyBorder="1" applyAlignment="1" applyProtection="1">
      <alignment horizontal="center"/>
    </xf>
    <xf numFmtId="10" fontId="3" fillId="3" borderId="13" xfId="0" applyNumberFormat="1" applyFont="1" applyFill="1" applyBorder="1" applyAlignment="1" applyProtection="1">
      <alignment horizontal="center"/>
    </xf>
    <xf numFmtId="4" fontId="4" fillId="3" borderId="12" xfId="0" applyNumberFormat="1" applyFont="1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167" fontId="0" fillId="3" borderId="7" xfId="0" applyNumberFormat="1" applyFont="1" applyFill="1" applyBorder="1" applyAlignment="1" applyProtection="1">
      <alignment horizontal="center"/>
    </xf>
    <xf numFmtId="2" fontId="0" fillId="3" borderId="12" xfId="0" applyNumberFormat="1" applyFill="1" applyBorder="1" applyProtection="1"/>
    <xf numFmtId="0" fontId="3" fillId="3" borderId="6" xfId="0" applyFont="1" applyFill="1" applyBorder="1" applyAlignment="1" applyProtection="1"/>
    <xf numFmtId="10" fontId="3" fillId="3" borderId="10" xfId="0" applyNumberFormat="1" applyFont="1" applyFill="1" applyBorder="1" applyAlignment="1" applyProtection="1">
      <alignment horizontal="center"/>
    </xf>
    <xf numFmtId="167" fontId="3" fillId="3" borderId="3" xfId="0" applyNumberFormat="1" applyFont="1" applyFill="1" applyBorder="1" applyAlignment="1" applyProtection="1">
      <alignment horizontal="center"/>
    </xf>
    <xf numFmtId="10" fontId="3" fillId="3" borderId="11" xfId="0" applyNumberFormat="1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/>
    <xf numFmtId="10" fontId="2" fillId="3" borderId="10" xfId="0" applyNumberFormat="1" applyFont="1" applyFill="1" applyBorder="1" applyAlignment="1" applyProtection="1">
      <alignment horizontal="center"/>
    </xf>
    <xf numFmtId="167" fontId="2" fillId="3" borderId="3" xfId="0" applyNumberFormat="1" applyFont="1" applyFill="1" applyBorder="1" applyAlignment="1" applyProtection="1">
      <alignment horizontal="center"/>
    </xf>
    <xf numFmtId="10" fontId="2" fillId="3" borderId="11" xfId="0" applyNumberFormat="1" applyFont="1" applyFill="1" applyBorder="1" applyAlignment="1" applyProtection="1">
      <alignment horizontal="center"/>
    </xf>
    <xf numFmtId="3" fontId="2" fillId="3" borderId="10" xfId="0" applyNumberFormat="1" applyFont="1" applyFill="1" applyBorder="1" applyAlignment="1" applyProtection="1">
      <alignment horizontal="center"/>
    </xf>
    <xf numFmtId="167" fontId="6" fillId="3" borderId="3" xfId="0" applyNumberFormat="1" applyFont="1" applyFill="1" applyBorder="1" applyAlignment="1" applyProtection="1">
      <alignment horizontal="center"/>
    </xf>
    <xf numFmtId="167" fontId="6" fillId="3" borderId="11" xfId="0" applyNumberFormat="1" applyFont="1" applyFill="1" applyBorder="1" applyAlignment="1" applyProtection="1">
      <alignment horizontal="center"/>
    </xf>
    <xf numFmtId="167" fontId="6" fillId="3" borderId="19" xfId="0" applyNumberFormat="1" applyFont="1" applyFill="1" applyBorder="1" applyAlignment="1" applyProtection="1">
      <alignment horizontal="center"/>
    </xf>
    <xf numFmtId="2" fontId="2" fillId="3" borderId="17" xfId="0" applyNumberFormat="1" applyFont="1" applyFill="1" applyBorder="1" applyAlignment="1" applyProtection="1"/>
    <xf numFmtId="2" fontId="2" fillId="3" borderId="2" xfId="0" applyNumberFormat="1" applyFont="1" applyFill="1" applyBorder="1" applyAlignment="1" applyProtection="1"/>
    <xf numFmtId="0" fontId="3" fillId="3" borderId="2" xfId="0" applyFont="1" applyFill="1" applyBorder="1" applyAlignment="1" applyProtection="1"/>
    <xf numFmtId="0" fontId="2" fillId="3" borderId="4" xfId="0" applyFont="1" applyFill="1" applyBorder="1" applyAlignment="1" applyProtection="1"/>
    <xf numFmtId="165" fontId="2" fillId="3" borderId="14" xfId="0" applyNumberFormat="1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>
      <alignment horizontal="center"/>
    </xf>
    <xf numFmtId="10" fontId="2" fillId="3" borderId="15" xfId="0" applyNumberFormat="1" applyFont="1" applyFill="1" applyBorder="1" applyAlignment="1" applyProtection="1">
      <alignment horizontal="center"/>
    </xf>
    <xf numFmtId="3" fontId="7" fillId="3" borderId="14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Protection="1"/>
    <xf numFmtId="0" fontId="6" fillId="3" borderId="15" xfId="0" applyFont="1" applyFill="1" applyBorder="1" applyProtection="1"/>
    <xf numFmtId="167" fontId="6" fillId="3" borderId="4" xfId="0" applyNumberFormat="1" applyFont="1" applyFill="1" applyBorder="1" applyAlignment="1" applyProtection="1">
      <alignment horizontal="center"/>
    </xf>
    <xf numFmtId="2" fontId="3" fillId="3" borderId="14" xfId="0" applyNumberFormat="1" applyFont="1" applyFill="1" applyBorder="1" applyAlignment="1" applyProtection="1"/>
    <xf numFmtId="2" fontId="3" fillId="3" borderId="1" xfId="0" applyNumberFormat="1" applyFont="1" applyFill="1" applyBorder="1" applyAlignment="1" applyProtection="1"/>
    <xf numFmtId="0" fontId="3" fillId="0" borderId="0" xfId="0" applyNumberFormat="1" applyFont="1" applyAlignment="1" applyProtection="1"/>
    <xf numFmtId="166" fontId="3" fillId="0" borderId="0" xfId="0" applyNumberFormat="1" applyFont="1" applyAlignment="1" applyProtection="1"/>
    <xf numFmtId="2" fontId="3" fillId="0" borderId="0" xfId="0" applyNumberFormat="1" applyFont="1" applyAlignment="1" applyProtection="1"/>
    <xf numFmtId="0" fontId="3" fillId="3" borderId="5" xfId="0" applyFont="1" applyFill="1" applyBorder="1" applyAlignment="1" applyProtection="1"/>
    <xf numFmtId="0" fontId="0" fillId="8" borderId="16" xfId="0" applyFill="1" applyBorder="1" applyProtection="1"/>
    <xf numFmtId="0" fontId="0" fillId="3" borderId="5" xfId="0" applyFill="1" applyBorder="1" applyAlignment="1" applyProtection="1">
      <alignment horizontal="center"/>
    </xf>
    <xf numFmtId="0" fontId="0" fillId="8" borderId="0" xfId="0" applyFill="1" applyBorder="1" applyProtection="1"/>
    <xf numFmtId="0" fontId="0" fillId="3" borderId="7" xfId="0" applyFill="1" applyBorder="1" applyAlignment="1" applyProtection="1">
      <alignment horizontal="center"/>
    </xf>
    <xf numFmtId="0" fontId="0" fillId="3" borderId="7" xfId="0" applyFill="1" applyBorder="1" applyProtection="1"/>
    <xf numFmtId="4" fontId="3" fillId="3" borderId="7" xfId="0" applyNumberFormat="1" applyFont="1" applyFill="1" applyBorder="1" applyAlignment="1" applyProtection="1"/>
    <xf numFmtId="2" fontId="0" fillId="3" borderId="0" xfId="0" applyNumberFormat="1" applyFill="1" applyBorder="1" applyProtection="1"/>
    <xf numFmtId="2" fontId="0" fillId="3" borderId="13" xfId="0" applyNumberFormat="1" applyFill="1" applyBorder="1" applyProtection="1"/>
    <xf numFmtId="4" fontId="3" fillId="3" borderId="0" xfId="0" applyNumberFormat="1" applyFont="1" applyFill="1" applyBorder="1" applyAlignment="1" applyProtection="1"/>
    <xf numFmtId="4" fontId="3" fillId="3" borderId="13" xfId="0" applyNumberFormat="1" applyFont="1" applyFill="1" applyBorder="1" applyAlignment="1" applyProtection="1"/>
    <xf numFmtId="0" fontId="0" fillId="3" borderId="6" xfId="0" applyFill="1" applyBorder="1" applyProtection="1"/>
    <xf numFmtId="0" fontId="0" fillId="8" borderId="3" xfId="0" applyFill="1" applyBorder="1" applyProtection="1"/>
    <xf numFmtId="4" fontId="3" fillId="3" borderId="6" xfId="0" applyNumberFormat="1" applyFont="1" applyFill="1" applyBorder="1" applyAlignment="1" applyProtection="1"/>
    <xf numFmtId="4" fontId="3" fillId="3" borderId="3" xfId="0" applyNumberFormat="1" applyFont="1" applyFill="1" applyBorder="1" applyAlignment="1" applyProtection="1"/>
    <xf numFmtId="4" fontId="3" fillId="3" borderId="11" xfId="0" applyNumberFormat="1" applyFont="1" applyFill="1" applyBorder="1" applyAlignment="1" applyProtection="1"/>
    <xf numFmtId="1" fontId="3" fillId="0" borderId="0" xfId="2" applyNumberFormat="1" applyFont="1" applyAlignment="1" applyProtection="1"/>
    <xf numFmtId="0" fontId="0" fillId="3" borderId="5" xfId="0" applyFill="1" applyBorder="1" applyProtection="1"/>
    <xf numFmtId="0" fontId="0" fillId="3" borderId="16" xfId="0" applyFill="1" applyBorder="1" applyAlignment="1" applyProtection="1">
      <alignment horizontal="center"/>
    </xf>
    <xf numFmtId="4" fontId="3" fillId="3" borderId="5" xfId="0" applyNumberFormat="1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4" fontId="3" fillId="3" borderId="6" xfId="0" applyNumberFormat="1" applyFont="1" applyFill="1" applyBorder="1" applyAlignment="1" applyProtection="1">
      <alignment horizontal="center"/>
    </xf>
    <xf numFmtId="0" fontId="15" fillId="6" borderId="12" xfId="0" applyFont="1" applyFill="1" applyBorder="1" applyAlignment="1" applyProtection="1"/>
    <xf numFmtId="0" fontId="13" fillId="6" borderId="7" xfId="0" applyFont="1" applyFill="1" applyBorder="1" applyProtection="1"/>
    <xf numFmtId="0" fontId="13" fillId="9" borderId="0" xfId="0" applyFont="1" applyFill="1" applyBorder="1" applyProtection="1"/>
    <xf numFmtId="0" fontId="13" fillId="6" borderId="7" xfId="0" applyFont="1" applyFill="1" applyBorder="1" applyAlignment="1" applyProtection="1">
      <alignment horizontal="center"/>
    </xf>
    <xf numFmtId="4" fontId="15" fillId="6" borderId="7" xfId="0" applyNumberFormat="1" applyFont="1" applyFill="1" applyBorder="1" applyAlignment="1" applyProtection="1"/>
    <xf numFmtId="4" fontId="15" fillId="6" borderId="0" xfId="0" applyNumberFormat="1" applyFont="1" applyFill="1" applyBorder="1" applyAlignment="1" applyProtection="1"/>
    <xf numFmtId="4" fontId="15" fillId="6" borderId="13" xfId="0" applyNumberFormat="1" applyFont="1" applyFill="1" applyBorder="1" applyAlignment="1" applyProtection="1"/>
    <xf numFmtId="2" fontId="0" fillId="8" borderId="7" xfId="0" applyNumberFormat="1" applyFill="1" applyBorder="1" applyAlignment="1" applyProtection="1">
      <alignment horizontal="center"/>
    </xf>
    <xf numFmtId="4" fontId="3" fillId="8" borderId="7" xfId="0" applyNumberFormat="1" applyFont="1" applyFill="1" applyBorder="1" applyAlignment="1" applyProtection="1"/>
    <xf numFmtId="2" fontId="0" fillId="3" borderId="7" xfId="0" applyNumberFormat="1" applyFill="1" applyBorder="1" applyAlignment="1" applyProtection="1">
      <alignment horizontal="center"/>
    </xf>
    <xf numFmtId="4" fontId="0" fillId="3" borderId="7" xfId="0" applyNumberFormat="1" applyFill="1" applyBorder="1" applyAlignment="1" applyProtection="1">
      <alignment horizontal="center"/>
    </xf>
    <xf numFmtId="4" fontId="3" fillId="3" borderId="16" xfId="0" applyNumberFormat="1" applyFont="1" applyFill="1" applyBorder="1" applyAlignment="1" applyProtection="1">
      <alignment horizontal="center"/>
    </xf>
    <xf numFmtId="4" fontId="3" fillId="3" borderId="16" xfId="0" applyNumberFormat="1" applyFont="1" applyFill="1" applyBorder="1" applyAlignment="1" applyProtection="1"/>
    <xf numFmtId="4" fontId="3" fillId="3" borderId="9" xfId="0" applyNumberFormat="1" applyFont="1" applyFill="1" applyBorder="1" applyAlignment="1" applyProtection="1"/>
    <xf numFmtId="0" fontId="15" fillId="6" borderId="7" xfId="0" applyFont="1" applyFill="1" applyBorder="1" applyAlignment="1" applyProtection="1"/>
    <xf numFmtId="0" fontId="3" fillId="8" borderId="7" xfId="0" applyFont="1" applyFill="1" applyBorder="1" applyAlignment="1" applyProtection="1"/>
    <xf numFmtId="0" fontId="0" fillId="8" borderId="7" xfId="0" applyFill="1" applyBorder="1" applyAlignment="1" applyProtection="1">
      <alignment horizontal="center"/>
    </xf>
    <xf numFmtId="4" fontId="0" fillId="3" borderId="6" xfId="0" applyNumberForma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4" fontId="0" fillId="8" borderId="7" xfId="0" applyNumberFormat="1" applyFill="1" applyBorder="1" applyAlignment="1" applyProtection="1">
      <alignment horizontal="center"/>
    </xf>
    <xf numFmtId="4" fontId="0" fillId="3" borderId="0" xfId="0" applyNumberFormat="1" applyFill="1" applyBorder="1" applyProtection="1"/>
    <xf numFmtId="4" fontId="0" fillId="3" borderId="13" xfId="0" applyNumberFormat="1" applyFill="1" applyBorder="1" applyProtection="1"/>
    <xf numFmtId="4" fontId="0" fillId="3" borderId="3" xfId="0" applyNumberFormat="1" applyFill="1" applyBorder="1" applyProtection="1"/>
    <xf numFmtId="4" fontId="0" fillId="3" borderId="11" xfId="0" applyNumberFormat="1" applyFill="1" applyBorder="1" applyProtection="1"/>
    <xf numFmtId="0" fontId="0" fillId="0" borderId="16" xfId="0" applyBorder="1" applyAlignment="1" applyProtection="1">
      <alignment horizontal="center"/>
    </xf>
    <xf numFmtId="2" fontId="0" fillId="2" borderId="0" xfId="0" applyNumberFormat="1" applyFill="1" applyProtection="1">
      <protection locked="0"/>
    </xf>
    <xf numFmtId="165" fontId="3" fillId="2" borderId="0" xfId="1" applyNumberFormat="1" applyFont="1" applyFill="1" applyBorder="1" applyAlignment="1" applyProtection="1">
      <alignment horizontal="center"/>
      <protection locked="0"/>
    </xf>
    <xf numFmtId="10" fontId="0" fillId="2" borderId="5" xfId="1" applyNumberFormat="1" applyFont="1" applyFill="1" applyBorder="1" applyProtection="1">
      <protection locked="0"/>
    </xf>
    <xf numFmtId="10" fontId="0" fillId="2" borderId="7" xfId="1" applyNumberFormat="1" applyFont="1" applyFill="1" applyBorder="1" applyProtection="1">
      <protection locked="0"/>
    </xf>
    <xf numFmtId="167" fontId="3" fillId="2" borderId="13" xfId="0" applyNumberFormat="1" applyFont="1" applyFill="1" applyBorder="1" applyAlignment="1" applyProtection="1">
      <protection locked="0"/>
    </xf>
    <xf numFmtId="167" fontId="3" fillId="2" borderId="11" xfId="0" applyNumberFormat="1" applyFont="1" applyFill="1" applyBorder="1" applyAlignment="1" applyProtection="1">
      <protection locked="0"/>
    </xf>
    <xf numFmtId="3" fontId="3" fillId="2" borderId="12" xfId="0" applyNumberFormat="1" applyFont="1" applyFill="1" applyBorder="1" applyAlignment="1" applyProtection="1">
      <alignment horizontal="center"/>
      <protection locked="0"/>
    </xf>
    <xf numFmtId="165" fontId="0" fillId="2" borderId="0" xfId="1" applyNumberFormat="1" applyFont="1" applyFill="1" applyBorder="1" applyAlignment="1" applyProtection="1">
      <alignment horizontal="center"/>
      <protection locked="0"/>
    </xf>
    <xf numFmtId="1" fontId="0" fillId="2" borderId="13" xfId="1" applyNumberFormat="1" applyFont="1" applyFill="1" applyBorder="1" applyAlignment="1" applyProtection="1">
      <alignment horizontal="center"/>
      <protection locked="0"/>
    </xf>
    <xf numFmtId="3" fontId="3" fillId="2" borderId="10" xfId="0" applyNumberFormat="1" applyFont="1" applyFill="1" applyBorder="1" applyAlignment="1" applyProtection="1">
      <alignment horizontal="center"/>
      <protection locked="0"/>
    </xf>
    <xf numFmtId="165" fontId="0" fillId="2" borderId="3" xfId="1" applyNumberFormat="1" applyFont="1" applyFill="1" applyBorder="1" applyAlignment="1" applyProtection="1">
      <alignment horizontal="center"/>
      <protection locked="0"/>
    </xf>
    <xf numFmtId="1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167" fontId="0" fillId="2" borderId="12" xfId="0" applyNumberFormat="1" applyFill="1" applyBorder="1" applyProtection="1">
      <protection locked="0"/>
    </xf>
    <xf numFmtId="167" fontId="0" fillId="2" borderId="0" xfId="0" applyNumberFormat="1" applyFill="1" applyBorder="1" applyProtection="1">
      <protection locked="0"/>
    </xf>
    <xf numFmtId="167" fontId="0" fillId="2" borderId="13" xfId="0" applyNumberFormat="1" applyFill="1" applyBorder="1" applyProtection="1">
      <protection locked="0"/>
    </xf>
    <xf numFmtId="167" fontId="3" fillId="2" borderId="12" xfId="0" applyNumberFormat="1" applyFont="1" applyFill="1" applyBorder="1" applyAlignment="1" applyProtection="1">
      <protection locked="0"/>
    </xf>
    <xf numFmtId="167" fontId="3" fillId="2" borderId="10" xfId="0" applyNumberFormat="1" applyFont="1" applyFill="1" applyBorder="1" applyAlignment="1" applyProtection="1">
      <protection locked="0"/>
    </xf>
    <xf numFmtId="9" fontId="0" fillId="3" borderId="0" xfId="1" applyFont="1" applyFill="1" applyProtection="1"/>
    <xf numFmtId="10" fontId="0" fillId="3" borderId="0" xfId="0" applyNumberFormat="1" applyFill="1" applyProtection="1"/>
    <xf numFmtId="0" fontId="3" fillId="3" borderId="6" xfId="0" applyFont="1" applyFill="1" applyBorder="1" applyAlignment="1" applyProtection="1">
      <alignment horizontal="center" wrapText="1"/>
    </xf>
    <xf numFmtId="0" fontId="0" fillId="0" borderId="3" xfId="0" applyBorder="1" applyProtection="1"/>
    <xf numFmtId="167" fontId="0" fillId="7" borderId="0" xfId="0" applyNumberFormat="1" applyFill="1" applyProtection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69" fontId="0" fillId="2" borderId="0" xfId="2" applyNumberFormat="1" applyFont="1" applyFill="1" applyBorder="1" applyProtection="1">
      <protection locked="0"/>
    </xf>
    <xf numFmtId="169" fontId="0" fillId="2" borderId="13" xfId="2" applyNumberFormat="1" applyFont="1" applyFill="1" applyBorder="1" applyProtection="1">
      <protection locked="0"/>
    </xf>
    <xf numFmtId="169" fontId="0" fillId="2" borderId="3" xfId="2" applyNumberFormat="1" applyFont="1" applyFill="1" applyBorder="1" applyProtection="1">
      <protection locked="0"/>
    </xf>
    <xf numFmtId="169" fontId="0" fillId="2" borderId="11" xfId="2" applyNumberFormat="1" applyFont="1" applyFill="1" applyBorder="1" applyProtection="1">
      <protection locked="0"/>
    </xf>
    <xf numFmtId="0" fontId="0" fillId="18" borderId="0" xfId="0" applyNumberFormat="1" applyFill="1" applyAlignment="1"/>
    <xf numFmtId="49" fontId="0" fillId="18" borderId="0" xfId="0" applyNumberFormat="1" applyFill="1" applyAlignment="1"/>
    <xf numFmtId="170" fontId="23" fillId="2" borderId="30" xfId="2" applyNumberFormat="1" applyFont="1" applyFill="1" applyBorder="1" applyAlignment="1" applyProtection="1">
      <alignment vertical="center"/>
      <protection locked="0"/>
    </xf>
    <xf numFmtId="170" fontId="23" fillId="2" borderId="32" xfId="2" applyNumberFormat="1" applyFont="1" applyFill="1" applyBorder="1" applyAlignment="1" applyProtection="1">
      <alignment vertical="center"/>
      <protection locked="0"/>
    </xf>
    <xf numFmtId="170" fontId="23" fillId="2" borderId="31" xfId="2" applyNumberFormat="1" applyFont="1" applyFill="1" applyBorder="1" applyAlignment="1" applyProtection="1">
      <alignment vertical="center"/>
      <protection locked="0"/>
    </xf>
    <xf numFmtId="170" fontId="23" fillId="2" borderId="49" xfId="2" applyNumberFormat="1" applyFont="1" applyFill="1" applyBorder="1" applyAlignment="1" applyProtection="1">
      <alignment vertical="center"/>
      <protection locked="0"/>
    </xf>
    <xf numFmtId="170" fontId="0" fillId="2" borderId="0" xfId="2" applyNumberFormat="1" applyFont="1" applyFill="1" applyProtection="1">
      <protection locked="0"/>
    </xf>
    <xf numFmtId="10" fontId="0" fillId="0" borderId="0" xfId="1" applyNumberFormat="1" applyFont="1" applyBorder="1" applyProtection="1">
      <protection locked="0"/>
    </xf>
    <xf numFmtId="0" fontId="0" fillId="5" borderId="30" xfId="0" applyFill="1" applyBorder="1" applyAlignment="1" applyProtection="1">
      <alignment horizontal="center" vertical="center" wrapText="1"/>
    </xf>
    <xf numFmtId="0" fontId="0" fillId="5" borderId="35" xfId="0" applyFill="1" applyBorder="1" applyAlignment="1" applyProtection="1">
      <alignment horizontal="center" vertical="center" wrapText="1"/>
    </xf>
    <xf numFmtId="0" fontId="0" fillId="5" borderId="30" xfId="0" applyFill="1" applyBorder="1" applyAlignment="1" applyProtection="1">
      <alignment horizontal="center" wrapText="1"/>
    </xf>
    <xf numFmtId="0" fontId="0" fillId="5" borderId="35" xfId="0" applyFill="1" applyBorder="1" applyAlignment="1" applyProtection="1">
      <alignment horizontal="center" wrapText="1"/>
    </xf>
    <xf numFmtId="0" fontId="0" fillId="5" borderId="37" xfId="0" applyFill="1" applyBorder="1" applyAlignment="1" applyProtection="1">
      <alignment horizontal="center"/>
    </xf>
    <xf numFmtId="0" fontId="0" fillId="5" borderId="38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left" vertical="center" wrapText="1"/>
    </xf>
    <xf numFmtId="0" fontId="0" fillId="5" borderId="35" xfId="0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/>
    </xf>
    <xf numFmtId="0" fontId="20" fillId="12" borderId="20" xfId="3" applyFill="1" applyAlignment="1" applyProtection="1">
      <alignment horizontal="left" vertical="center"/>
    </xf>
    <xf numFmtId="0" fontId="0" fillId="16" borderId="0" xfId="0" applyFill="1" applyAlignment="1" applyProtection="1">
      <alignment horizontal="center"/>
    </xf>
    <xf numFmtId="0" fontId="6" fillId="13" borderId="0" xfId="0" applyNumberFormat="1" applyFont="1" applyFill="1" applyAlignment="1" applyProtection="1">
      <alignment horizontal="left" vertical="center"/>
    </xf>
    <xf numFmtId="0" fontId="6" fillId="13" borderId="0" xfId="0" applyNumberFormat="1" applyFont="1" applyFill="1" applyAlignment="1">
      <alignment horizontal="left" vertical="center"/>
    </xf>
    <xf numFmtId="0" fontId="20" fillId="12" borderId="20" xfId="3" applyFill="1" applyAlignment="1">
      <alignment horizontal="left" vertical="center"/>
    </xf>
    <xf numFmtId="1" fontId="31" fillId="13" borderId="33" xfId="2" applyNumberFormat="1" applyFont="1" applyFill="1" applyBorder="1" applyAlignment="1">
      <alignment horizontal="center" vertical="center"/>
    </xf>
    <xf numFmtId="1" fontId="31" fillId="13" borderId="0" xfId="8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11" xfId="0" applyFont="1" applyFill="1" applyBorder="1" applyAlignment="1" applyProtection="1">
      <alignment horizontal="center" wrapText="1"/>
    </xf>
    <xf numFmtId="0" fontId="0" fillId="3" borderId="8" xfId="0" applyFill="1" applyBorder="1" applyAlignment="1" applyProtection="1">
      <alignment horizontal="center" wrapText="1"/>
    </xf>
    <xf numFmtId="0" fontId="0" fillId="3" borderId="16" xfId="0" applyFill="1" applyBorder="1" applyAlignment="1" applyProtection="1">
      <alignment horizontal="center" wrapText="1"/>
    </xf>
    <xf numFmtId="0" fontId="0" fillId="3" borderId="9" xfId="0" applyFill="1" applyBorder="1" applyAlignment="1" applyProtection="1">
      <alignment horizontal="center" wrapText="1"/>
    </xf>
    <xf numFmtId="0" fontId="6" fillId="18" borderId="0" xfId="0" applyFont="1" applyFill="1" applyAlignment="1">
      <alignment horizontal="left"/>
    </xf>
    <xf numFmtId="0" fontId="43" fillId="19" borderId="17" xfId="0" applyFont="1" applyFill="1" applyBorder="1" applyAlignment="1">
      <alignment horizontal="justify" vertical="center"/>
    </xf>
    <xf numFmtId="0" fontId="43" fillId="19" borderId="2" xfId="0" applyFont="1" applyFill="1" applyBorder="1" applyAlignment="1">
      <alignment horizontal="justify" vertical="center"/>
    </xf>
    <xf numFmtId="0" fontId="43" fillId="19" borderId="18" xfId="0" applyFont="1" applyFill="1" applyBorder="1" applyAlignment="1">
      <alignment horizontal="justify" vertical="center"/>
    </xf>
    <xf numFmtId="0" fontId="0" fillId="19" borderId="0" xfId="0" applyFill="1" applyBorder="1"/>
    <xf numFmtId="0" fontId="44" fillId="19" borderId="19" xfId="0" applyFont="1" applyFill="1" applyBorder="1" applyAlignment="1">
      <alignment vertical="center" wrapText="1"/>
    </xf>
    <xf numFmtId="0" fontId="45" fillId="19" borderId="19" xfId="0" applyFont="1" applyFill="1" applyBorder="1" applyAlignment="1">
      <alignment vertical="center" wrapText="1"/>
    </xf>
    <xf numFmtId="0" fontId="45" fillId="19" borderId="19" xfId="0" applyFont="1" applyFill="1" applyBorder="1" applyAlignment="1">
      <alignment vertical="center" wrapText="1"/>
    </xf>
    <xf numFmtId="0" fontId="46" fillId="19" borderId="19" xfId="0" applyFont="1" applyFill="1" applyBorder="1" applyAlignment="1">
      <alignment vertical="center" wrapText="1"/>
    </xf>
    <xf numFmtId="0" fontId="43" fillId="19" borderId="0" xfId="0" applyFont="1" applyFill="1" applyBorder="1" applyAlignment="1">
      <alignment horizontal="justify" vertical="center"/>
    </xf>
    <xf numFmtId="0" fontId="44" fillId="19" borderId="0" xfId="0" applyFont="1" applyFill="1" applyBorder="1" applyAlignment="1">
      <alignment vertical="center" wrapText="1"/>
    </xf>
    <xf numFmtId="175" fontId="45" fillId="19" borderId="19" xfId="0" applyNumberFormat="1" applyFont="1" applyFill="1" applyBorder="1" applyAlignment="1">
      <alignment horizontal="left" vertical="center" wrapText="1"/>
    </xf>
    <xf numFmtId="175" fontId="45" fillId="19" borderId="19" xfId="0" applyNumberFormat="1" applyFont="1" applyFill="1" applyBorder="1" applyAlignment="1">
      <alignment vertical="center" wrapText="1"/>
    </xf>
  </cellXfs>
  <cellStyles count="14">
    <cellStyle name="Comma" xfId="2" builtinId="3"/>
    <cellStyle name="Date Input" xfId="8" xr:uid="{00000000-0005-0000-0000-000001000000}"/>
    <cellStyle name="Date Input Label" xfId="7" xr:uid="{00000000-0005-0000-0000-000002000000}"/>
    <cellStyle name="Grand" xfId="11" xr:uid="{00000000-0005-0000-0000-000003000000}"/>
    <cellStyle name="Grand 2" xfId="13" xr:uid="{00000000-0005-0000-0000-000004000000}"/>
    <cellStyle name="Grand Ruled" xfId="12" xr:uid="{00000000-0005-0000-0000-000005000000}"/>
    <cellStyle name="Heading 1" xfId="3" builtinId="16"/>
    <cellStyle name="Heading 2" xfId="4" builtinId="17"/>
    <cellStyle name="Heading 3" xfId="5" builtinId="18"/>
    <cellStyle name="Heading 4" xfId="6" builtinId="19"/>
    <cellStyle name="Normal" xfId="0" builtinId="0"/>
    <cellStyle name="Percent" xfId="1" builtinId="5"/>
    <cellStyle name="Ratio" xfId="10" xr:uid="{00000000-0005-0000-0000-00000C000000}"/>
    <cellStyle name="Ratio Label" xfId="9" xr:uid="{00000000-0005-0000-0000-00000D000000}"/>
  </cellStyles>
  <dxfs count="11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numFmt numFmtId="165" formatCode="0.0%"/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top style="medium">
          <color theme="1"/>
        </top>
      </border>
    </dxf>
    <dxf>
      <border>
        <top/>
        <bottom/>
        <vertical style="medium">
          <color theme="1"/>
        </vertical>
        <horizontal style="thin">
          <color theme="0" tint="-0.24994659260841701"/>
        </horizontal>
      </border>
    </dxf>
  </dxfs>
  <tableStyles count="1" defaultTableStyle="TableStyleMedium2" defaultPivotStyle="PivotStyleLight16">
    <tableStyle name="Custom Table Style" pivot="0" count="2" xr9:uid="{00000000-0011-0000-FFFF-FFFF00000000}">
      <tableStyleElement type="wholeTable" dxfId="114"/>
      <tableStyleElement type="totalRow" dxfId="1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a-DK"/>
              <a:t>Project Cash Flow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9.1914479440069988E-2"/>
          <c:y val="7.4944888553595684E-2"/>
          <c:w val="0.85451137357830276"/>
          <c:h val="0.78171245662945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Sheet2!$E$3</c:f>
              <c:strCache>
                <c:ptCount val="1"/>
                <c:pt idx="0">
                  <c:v>Total Annual Energy Income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Sheet2!$F$1:$AI$1</c:f>
              <c:numCache>
                <c:formatCode>General</c:formatCode>
                <c:ptCount val="3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</c:numCache>
            </c:numRef>
          </c:cat>
          <c:val>
            <c:numRef>
              <c:f>Sheet2!$F$3:$AI$3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5.1350199999999999</c:v>
                </c:pt>
                <c:pt idx="4">
                  <c:v>4.9947699999999999</c:v>
                </c:pt>
                <c:pt idx="5">
                  <c:v>4.9947699999999999</c:v>
                </c:pt>
                <c:pt idx="6">
                  <c:v>4.9947699999999999</c:v>
                </c:pt>
                <c:pt idx="7">
                  <c:v>4.9947699999999999</c:v>
                </c:pt>
                <c:pt idx="8">
                  <c:v>4.9947699999999999</c:v>
                </c:pt>
                <c:pt idx="9">
                  <c:v>4.9947699999999999</c:v>
                </c:pt>
                <c:pt idx="10">
                  <c:v>2.9177610000000005</c:v>
                </c:pt>
                <c:pt idx="11">
                  <c:v>2.9177610000000005</c:v>
                </c:pt>
                <c:pt idx="12">
                  <c:v>2.9177610000000005</c:v>
                </c:pt>
                <c:pt idx="13">
                  <c:v>2.9177610000000005</c:v>
                </c:pt>
                <c:pt idx="14">
                  <c:v>2.9177610000000005</c:v>
                </c:pt>
                <c:pt idx="15">
                  <c:v>2.9177610000000005</c:v>
                </c:pt>
                <c:pt idx="16">
                  <c:v>2.9177610000000005</c:v>
                </c:pt>
                <c:pt idx="17">
                  <c:v>2.9177610000000005</c:v>
                </c:pt>
                <c:pt idx="18">
                  <c:v>2.9177610000000005</c:v>
                </c:pt>
                <c:pt idx="19">
                  <c:v>2.9177610000000005</c:v>
                </c:pt>
                <c:pt idx="20">
                  <c:v>2.9177610000000005</c:v>
                </c:pt>
                <c:pt idx="21">
                  <c:v>2.9177610000000005</c:v>
                </c:pt>
                <c:pt idx="22">
                  <c:v>2.9177610000000005</c:v>
                </c:pt>
                <c:pt idx="23">
                  <c:v>2.9177610000000005</c:v>
                </c:pt>
                <c:pt idx="24">
                  <c:v>2.9177610000000005</c:v>
                </c:pt>
                <c:pt idx="25">
                  <c:v>2.9177610000000005</c:v>
                </c:pt>
                <c:pt idx="26">
                  <c:v>2.9177610000000005</c:v>
                </c:pt>
                <c:pt idx="27">
                  <c:v>2.9177610000000005</c:v>
                </c:pt>
                <c:pt idx="28">
                  <c:v>2.9177610000000005</c:v>
                </c:pt>
                <c:pt idx="29">
                  <c:v>2.9177610000000005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D-4364-8DFD-5C2901F63CED}"/>
            </c:ext>
          </c:extLst>
        </c:ser>
        <c:ser>
          <c:idx val="1"/>
          <c:order val="1"/>
          <c:tx>
            <c:strRef>
              <c:f>Sheet2!$E$4</c:f>
              <c:strCache>
                <c:ptCount val="1"/>
                <c:pt idx="0">
                  <c:v>Total Annual Costs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Sheet2!$F$1:$AI$1</c:f>
              <c:numCache>
                <c:formatCode>General</c:formatCode>
                <c:ptCount val="3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</c:numCache>
            </c:numRef>
          </c:cat>
          <c:val>
            <c:numRef>
              <c:f>Sheet2!$F$4:$AI$4</c:f>
              <c:numCache>
                <c:formatCode>0.00</c:formatCode>
                <c:ptCount val="30"/>
                <c:pt idx="0">
                  <c:v>0.1275</c:v>
                </c:pt>
                <c:pt idx="1">
                  <c:v>0.13068749999999998</c:v>
                </c:pt>
                <c:pt idx="2">
                  <c:v>0.31955468749999999</c:v>
                </c:pt>
                <c:pt idx="3">
                  <c:v>3.1494385546875003</c:v>
                </c:pt>
                <c:pt idx="4">
                  <c:v>2.6476548935546877</c:v>
                </c:pt>
                <c:pt idx="5">
                  <c:v>2.6688412658935547</c:v>
                </c:pt>
                <c:pt idx="6">
                  <c:v>2.6852197975408933</c:v>
                </c:pt>
                <c:pt idx="7">
                  <c:v>2.6867977924794157</c:v>
                </c:pt>
                <c:pt idx="8">
                  <c:v>2.6944327372914008</c:v>
                </c:pt>
                <c:pt idx="9">
                  <c:v>2.4476823057236858</c:v>
                </c:pt>
                <c:pt idx="10">
                  <c:v>2.2795043633667782</c:v>
                </c:pt>
                <c:pt idx="11">
                  <c:v>2.3010569724509473</c:v>
                </c:pt>
                <c:pt idx="12">
                  <c:v>2.3085483967622213</c:v>
                </c:pt>
                <c:pt idx="13">
                  <c:v>2.3229871066812766</c:v>
                </c:pt>
                <c:pt idx="14">
                  <c:v>2.3433817843483085</c:v>
                </c:pt>
                <c:pt idx="15">
                  <c:v>2.358941328957016</c:v>
                </c:pt>
                <c:pt idx="16">
                  <c:v>2.3696748621809416</c:v>
                </c:pt>
                <c:pt idx="17">
                  <c:v>2.3855917337354651</c:v>
                </c:pt>
                <c:pt idx="18">
                  <c:v>2.3957015270788515</c:v>
                </c:pt>
                <c:pt idx="19">
                  <c:v>1.7110140652558228</c:v>
                </c:pt>
                <c:pt idx="20">
                  <c:v>1.7349394168872181</c:v>
                </c:pt>
                <c:pt idx="21">
                  <c:v>1.7452879023093986</c:v>
                </c:pt>
                <c:pt idx="22">
                  <c:v>1.7630700998671336</c:v>
                </c:pt>
                <c:pt idx="23">
                  <c:v>1.787296852363812</c:v>
                </c:pt>
                <c:pt idx="24">
                  <c:v>1.275979273672907</c:v>
                </c:pt>
                <c:pt idx="25">
                  <c:v>1.2951287555147297</c:v>
                </c:pt>
                <c:pt idx="26">
                  <c:v>1.314756974402598</c:v>
                </c:pt>
                <c:pt idx="27">
                  <c:v>1.3348758987626628</c:v>
                </c:pt>
                <c:pt idx="28">
                  <c:v>0.84549779623172938</c:v>
                </c:pt>
                <c:pt idx="29">
                  <c:v>0.86663524113752244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D-4364-8DFD-5C2901F63CED}"/>
            </c:ext>
          </c:extLst>
        </c:ser>
        <c:ser>
          <c:idx val="5"/>
          <c:order val="5"/>
          <c:tx>
            <c:strRef>
              <c:f>Sheet2!$E$6</c:f>
              <c:strCache>
                <c:ptCount val="1"/>
                <c:pt idx="0">
                  <c:v>Investment (Excl. Interest during construction)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Sheet2!$F$6:$AI$6</c:f>
              <c:numCache>
                <c:formatCode>0.00</c:formatCode>
                <c:ptCount val="30"/>
                <c:pt idx="0">
                  <c:v>-7.2675999999999989</c:v>
                </c:pt>
                <c:pt idx="1">
                  <c:v>-7.4080000000000004</c:v>
                </c:pt>
                <c:pt idx="2">
                  <c:v>-4.66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4D-4364-8DFD-5C2901F6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221920"/>
        <c:axId val="240224272"/>
      </c:barChart>
      <c:lineChart>
        <c:grouping val="standard"/>
        <c:varyColors val="0"/>
        <c:ser>
          <c:idx val="2"/>
          <c:order val="2"/>
          <c:tx>
            <c:strRef>
              <c:f>Sheet2!$E$5</c:f>
              <c:strCache>
                <c:ptCount val="1"/>
                <c:pt idx="0">
                  <c:v>Annual Gross revenue from project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Sheet2!$F$1:$AI$1</c:f>
              <c:numCache>
                <c:formatCode>General</c:formatCode>
                <c:ptCount val="3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</c:numCache>
            </c:numRef>
          </c:cat>
          <c:val>
            <c:numRef>
              <c:f>Sheet2!$F$5:$AI$5</c:f>
              <c:numCache>
                <c:formatCode>0.00</c:formatCode>
                <c:ptCount val="30"/>
                <c:pt idx="0">
                  <c:v>-0.1275</c:v>
                </c:pt>
                <c:pt idx="1">
                  <c:v>-0.13068749999999998</c:v>
                </c:pt>
                <c:pt idx="2">
                  <c:v>-0.31955468749999999</c:v>
                </c:pt>
                <c:pt idx="3">
                  <c:v>1.9855814453124996</c:v>
                </c:pt>
                <c:pt idx="4">
                  <c:v>2.3471151064453122</c:v>
                </c:pt>
                <c:pt idx="5">
                  <c:v>2.3259287341064452</c:v>
                </c:pt>
                <c:pt idx="6">
                  <c:v>2.3095502024591066</c:v>
                </c:pt>
                <c:pt idx="7">
                  <c:v>2.3079722075205842</c:v>
                </c:pt>
                <c:pt idx="8">
                  <c:v>2.3003372627085992</c:v>
                </c:pt>
                <c:pt idx="9">
                  <c:v>2.5470876942763141</c:v>
                </c:pt>
                <c:pt idx="10">
                  <c:v>0.6382566366332223</c:v>
                </c:pt>
                <c:pt idx="11">
                  <c:v>0.61670402754905318</c:v>
                </c:pt>
                <c:pt idx="12">
                  <c:v>0.60921260323777915</c:v>
                </c:pt>
                <c:pt idx="13">
                  <c:v>0.59477389331872388</c:v>
                </c:pt>
                <c:pt idx="14">
                  <c:v>0.57437921565169203</c:v>
                </c:pt>
                <c:pt idx="15">
                  <c:v>0.55881967104298447</c:v>
                </c:pt>
                <c:pt idx="16">
                  <c:v>0.54808613781905891</c:v>
                </c:pt>
                <c:pt idx="17">
                  <c:v>0.53216926626453542</c:v>
                </c:pt>
                <c:pt idx="18">
                  <c:v>0.52205947292114896</c:v>
                </c:pt>
                <c:pt idx="19">
                  <c:v>1.2067469347441777</c:v>
                </c:pt>
                <c:pt idx="20">
                  <c:v>1.1828215831127824</c:v>
                </c:pt>
                <c:pt idx="21">
                  <c:v>1.1724730976906019</c:v>
                </c:pt>
                <c:pt idx="22">
                  <c:v>1.1546909001328669</c:v>
                </c:pt>
                <c:pt idx="23">
                  <c:v>1.1304641476361885</c:v>
                </c:pt>
                <c:pt idx="24">
                  <c:v>1.6417817263270935</c:v>
                </c:pt>
                <c:pt idx="25">
                  <c:v>1.6226322444852708</c:v>
                </c:pt>
                <c:pt idx="26">
                  <c:v>1.6030040255974025</c:v>
                </c:pt>
                <c:pt idx="27">
                  <c:v>1.5828851012373377</c:v>
                </c:pt>
                <c:pt idx="28">
                  <c:v>2.0722632037682711</c:v>
                </c:pt>
                <c:pt idx="29">
                  <c:v>2.0511257588624781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4D-4364-8DFD-5C2901F63CED}"/>
            </c:ext>
          </c:extLst>
        </c:ser>
        <c:ser>
          <c:idx val="3"/>
          <c:order val="3"/>
          <c:tx>
            <c:strRef>
              <c:f>Sheet2!$E$7</c:f>
              <c:strCache>
                <c:ptCount val="1"/>
                <c:pt idx="0">
                  <c:v>Accumulated revenue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Sheet2!$F$1:$AI$1</c:f>
              <c:numCache>
                <c:formatCode>General</c:formatCode>
                <c:ptCount val="3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</c:numCache>
            </c:numRef>
          </c:cat>
          <c:val>
            <c:numRef>
              <c:f>Sheet2!$F$7:$AI$7</c:f>
              <c:numCache>
                <c:formatCode>0.00</c:formatCode>
                <c:ptCount val="30"/>
                <c:pt idx="0">
                  <c:v>-0.1275</c:v>
                </c:pt>
                <c:pt idx="1">
                  <c:v>-0.25818750000000001</c:v>
                </c:pt>
                <c:pt idx="2">
                  <c:v>-0.57774218749999995</c:v>
                </c:pt>
                <c:pt idx="3">
                  <c:v>1.4078392578124996</c:v>
                </c:pt>
                <c:pt idx="4">
                  <c:v>3.754954364257812</c:v>
                </c:pt>
                <c:pt idx="5">
                  <c:v>6.0808830983642572</c:v>
                </c:pt>
                <c:pt idx="6">
                  <c:v>8.3904333008233642</c:v>
                </c:pt>
                <c:pt idx="7">
                  <c:v>10.698405508343949</c:v>
                </c:pt>
                <c:pt idx="8">
                  <c:v>12.998742771052548</c:v>
                </c:pt>
                <c:pt idx="9">
                  <c:v>15.545830465328862</c:v>
                </c:pt>
                <c:pt idx="10">
                  <c:v>16.184087101962085</c:v>
                </c:pt>
                <c:pt idx="11">
                  <c:v>16.80079112951114</c:v>
                </c:pt>
                <c:pt idx="12">
                  <c:v>17.410003732748919</c:v>
                </c:pt>
                <c:pt idx="13">
                  <c:v>18.004777626067643</c:v>
                </c:pt>
                <c:pt idx="14">
                  <c:v>18.579156841719335</c:v>
                </c:pt>
                <c:pt idx="15">
                  <c:v>19.137976512762322</c:v>
                </c:pt>
                <c:pt idx="16">
                  <c:v>19.68606265058138</c:v>
                </c:pt>
                <c:pt idx="17">
                  <c:v>20.218231916845916</c:v>
                </c:pt>
                <c:pt idx="18">
                  <c:v>20.740291389767066</c:v>
                </c:pt>
                <c:pt idx="19">
                  <c:v>21.947038324511244</c:v>
                </c:pt>
                <c:pt idx="20">
                  <c:v>23.129859907624027</c:v>
                </c:pt>
                <c:pt idx="21">
                  <c:v>24.30233300531463</c:v>
                </c:pt>
                <c:pt idx="22">
                  <c:v>25.457023905447496</c:v>
                </c:pt>
                <c:pt idx="23">
                  <c:v>26.587488053083685</c:v>
                </c:pt>
                <c:pt idx="24">
                  <c:v>28.229269779410778</c:v>
                </c:pt>
                <c:pt idx="25">
                  <c:v>29.851902023896049</c:v>
                </c:pt>
                <c:pt idx="26">
                  <c:v>31.454906049493452</c:v>
                </c:pt>
                <c:pt idx="27">
                  <c:v>33.03779115073079</c:v>
                </c:pt>
                <c:pt idx="28">
                  <c:v>35.110054354499063</c:v>
                </c:pt>
                <c:pt idx="29">
                  <c:v>37.161180113361539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4D-4364-8DFD-5C2901F63CED}"/>
            </c:ext>
          </c:extLst>
        </c:ser>
        <c:ser>
          <c:idx val="4"/>
          <c:order val="4"/>
          <c:tx>
            <c:strRef>
              <c:f>Sheet2!$E$8</c:f>
              <c:strCache>
                <c:ptCount val="1"/>
                <c:pt idx="0">
                  <c:v>Debt development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Sheet2!$F$8:$AI$8</c:f>
              <c:numCache>
                <c:formatCode>0.00</c:formatCode>
                <c:ptCount val="30"/>
                <c:pt idx="0">
                  <c:v>-7.3950999999999993</c:v>
                </c:pt>
                <c:pt idx="1">
                  <c:v>-14.933787499999999</c:v>
                </c:pt>
                <c:pt idx="2">
                  <c:v>-19.9133421875</c:v>
                </c:pt>
                <c:pt idx="3">
                  <c:v>-17.927760742187502</c:v>
                </c:pt>
                <c:pt idx="4">
                  <c:v>-15.58064563574219</c:v>
                </c:pt>
                <c:pt idx="5">
                  <c:v>-13.254716901635746</c:v>
                </c:pt>
                <c:pt idx="6">
                  <c:v>-10.945166699176639</c:v>
                </c:pt>
                <c:pt idx="7">
                  <c:v>-8.6371944916560537</c:v>
                </c:pt>
                <c:pt idx="8">
                  <c:v>-6.336857228947455</c:v>
                </c:pt>
                <c:pt idx="9">
                  <c:v>-3.7897695346711409</c:v>
                </c:pt>
                <c:pt idx="10">
                  <c:v>-3.1515128980379186</c:v>
                </c:pt>
                <c:pt idx="11">
                  <c:v>-2.5348088704888654</c:v>
                </c:pt>
                <c:pt idx="12">
                  <c:v>-1.9255962672510862</c:v>
                </c:pt>
                <c:pt idx="13">
                  <c:v>-1.3308223739323624</c:v>
                </c:pt>
                <c:pt idx="14">
                  <c:v>-0.75644315828067032</c:v>
                </c:pt>
                <c:pt idx="15">
                  <c:v>-0.19762348723768586</c:v>
                </c:pt>
                <c:pt idx="16">
                  <c:v>0.35046265058137305</c:v>
                </c:pt>
                <c:pt idx="17">
                  <c:v>0.88263191684590847</c:v>
                </c:pt>
                <c:pt idx="18">
                  <c:v>1.4046913897670574</c:v>
                </c:pt>
                <c:pt idx="19">
                  <c:v>2.6114383245112354</c:v>
                </c:pt>
                <c:pt idx="20">
                  <c:v>3.794259907624018</c:v>
                </c:pt>
                <c:pt idx="21">
                  <c:v>4.9667330053146195</c:v>
                </c:pt>
                <c:pt idx="22">
                  <c:v>6.1214239054474859</c:v>
                </c:pt>
                <c:pt idx="23">
                  <c:v>7.2518880530836745</c:v>
                </c:pt>
                <c:pt idx="24">
                  <c:v>8.893669779410768</c:v>
                </c:pt>
                <c:pt idx="25">
                  <c:v>10.516302023896039</c:v>
                </c:pt>
                <c:pt idx="26">
                  <c:v>12.11930604949344</c:v>
                </c:pt>
                <c:pt idx="27">
                  <c:v>13.702191150730778</c:v>
                </c:pt>
                <c:pt idx="28">
                  <c:v>15.774454354499049</c:v>
                </c:pt>
                <c:pt idx="29">
                  <c:v>17.825580113361529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4D-4364-8DFD-5C2901F63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21920"/>
        <c:axId val="240224272"/>
      </c:lineChart>
      <c:catAx>
        <c:axId val="24022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40224272"/>
        <c:crosses val="autoZero"/>
        <c:auto val="1"/>
        <c:lblAlgn val="ctr"/>
        <c:lblOffset val="100"/>
        <c:noMultiLvlLbl val="0"/>
      </c:catAx>
      <c:valAx>
        <c:axId val="2402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402219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solidFill>
        <a:srgbClr val="FF0000"/>
      </a:solidFill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2'!$U$12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2'!$T$13:$T$17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2'!$U$13:$U$17</c:f>
              <c:numCache>
                <c:formatCode>0.0%</c:formatCode>
                <c:ptCount val="5"/>
                <c:pt idx="0">
                  <c:v>0.68701095461658845</c:v>
                </c:pt>
                <c:pt idx="1">
                  <c:v>0.35837245696400627</c:v>
                </c:pt>
                <c:pt idx="2">
                  <c:v>0.1705790297339593</c:v>
                </c:pt>
                <c:pt idx="3">
                  <c:v>7.1987480438184662E-2</c:v>
                </c:pt>
                <c:pt idx="4">
                  <c:v>9.8591549295774641E-2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7-47CC-8CE1-CB4B27F0D53C}"/>
            </c:ext>
          </c:extLst>
        </c:ser>
        <c:ser>
          <c:idx val="1"/>
          <c:order val="1"/>
          <c:tx>
            <c:strRef>
              <c:f>'Income Sheet - Stakeholder  2'!$V$12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2'!$T$13:$T$17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2'!$V$13:$V$17</c:f>
              <c:numCache>
                <c:formatCode>0.0%</c:formatCode>
                <c:ptCount val="5"/>
                <c:pt idx="0">
                  <c:v>0.74470402686848292</c:v>
                </c:pt>
                <c:pt idx="1">
                  <c:v>0.39012628640804248</c:v>
                </c:pt>
                <c:pt idx="2">
                  <c:v>0.1773796421317782</c:v>
                </c:pt>
                <c:pt idx="3">
                  <c:v>5.6732438473670467E-2</c:v>
                </c:pt>
                <c:pt idx="4">
                  <c:v>0.12064720365810774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7-47CC-8CE1-CB4B27F0D53C}"/>
            </c:ext>
          </c:extLst>
        </c:ser>
        <c:ser>
          <c:idx val="2"/>
          <c:order val="2"/>
          <c:tx>
            <c:strRef>
              <c:f>'Income Sheet - Stakeholder  2'!$W$12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'Income Sheet - Stakeholder  2'!$T$13:$T$17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2'!$W$13:$W$17</c:f>
              <c:numCache>
                <c:formatCode>0.0%</c:formatCode>
                <c:ptCount val="5"/>
                <c:pt idx="0">
                  <c:v>0.75692099932478052</c:v>
                </c:pt>
                <c:pt idx="1">
                  <c:v>0.37879810938555031</c:v>
                </c:pt>
                <c:pt idx="2">
                  <c:v>0.1762322754895341</c:v>
                </c:pt>
                <c:pt idx="3">
                  <c:v>5.401755570560432E-2</c:v>
                </c:pt>
                <c:pt idx="4">
                  <c:v>0.12221471978392978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37-47CC-8CE1-CB4B27F0D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053104"/>
        <c:axId val="261053496"/>
      </c:barChart>
      <c:catAx>
        <c:axId val="2610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3496"/>
        <c:crosses val="autoZero"/>
        <c:auto val="1"/>
        <c:lblAlgn val="ctr"/>
        <c:lblOffset val="100"/>
        <c:noMultiLvlLbl val="0"/>
      </c:catAx>
      <c:valAx>
        <c:axId val="26105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310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2'!$U$24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2'!$T$25:$T$29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2'!$U$25:$U$29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C4-4B02-878E-7B142AEA848C}"/>
            </c:ext>
          </c:extLst>
        </c:ser>
        <c:ser>
          <c:idx val="1"/>
          <c:order val="1"/>
          <c:tx>
            <c:strRef>
              <c:f>'Income Sheet - Stakeholder  2'!$V$24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2'!$T$25:$T$29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2'!$V$25:$V$29</c:f>
              <c:numCache>
                <c:formatCode>0%</c:formatCode>
                <c:ptCount val="5"/>
                <c:pt idx="0">
                  <c:v>0.19604555808656057</c:v>
                </c:pt>
                <c:pt idx="1">
                  <c:v>0.20115283842794798</c:v>
                </c:pt>
                <c:pt idx="2">
                  <c:v>0.14737614678899164</c:v>
                </c:pt>
                <c:pt idx="3">
                  <c:v>-0.13043478260869565</c:v>
                </c:pt>
                <c:pt idx="4">
                  <c:v>0.3502222222222236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4-4B02-878E-7B142AEA848C}"/>
            </c:ext>
          </c:extLst>
        </c:ser>
        <c:ser>
          <c:idx val="2"/>
          <c:order val="2"/>
          <c:tx>
            <c:strRef>
              <c:f>'Income Sheet - Stakeholder  2'!$W$24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'Income Sheet - Stakeholder  2'!$T$25:$T$29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2'!$W$25:$W$29</c:f>
              <c:numCache>
                <c:formatCode>0%</c:formatCode>
                <c:ptCount val="5"/>
                <c:pt idx="0">
                  <c:v>6.7488915636950753E-2</c:v>
                </c:pt>
                <c:pt idx="1">
                  <c:v>1.9762673414186919E-2</c:v>
                </c:pt>
                <c:pt idx="2">
                  <c:v>4.3465745538283668E-2</c:v>
                </c:pt>
                <c:pt idx="3">
                  <c:v>0</c:v>
                </c:pt>
                <c:pt idx="4">
                  <c:v>-6.3904824602651025E-2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C4-4B02-878E-7B142AEA8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054280"/>
        <c:axId val="261054672"/>
      </c:barChart>
      <c:catAx>
        <c:axId val="26105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4672"/>
        <c:crosses val="autoZero"/>
        <c:auto val="1"/>
        <c:lblAlgn val="ctr"/>
        <c:lblOffset val="100"/>
        <c:noMultiLvlLbl val="0"/>
      </c:catAx>
      <c:valAx>
        <c:axId val="26105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42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3'!$U$12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3'!$T$13:$T$17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3'!$U$13:$U$17</c:f>
              <c:numCache>
                <c:formatCode>0.0%</c:formatCode>
                <c:ptCount val="5"/>
                <c:pt idx="0">
                  <c:v>0.15789473684210525</c:v>
                </c:pt>
                <c:pt idx="1">
                  <c:v>0.11052631578947368</c:v>
                </c:pt>
                <c:pt idx="2">
                  <c:v>8.9473684210526316E-2</c:v>
                </c:pt>
                <c:pt idx="3">
                  <c:v>3.6842105263157891E-2</c:v>
                </c:pt>
                <c:pt idx="4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EFC-A384-EC68B8E897EC}"/>
            </c:ext>
          </c:extLst>
        </c:ser>
        <c:ser>
          <c:idx val="1"/>
          <c:order val="1"/>
          <c:tx>
            <c:strRef>
              <c:f>'Income Sheet - Stakeholder  3'!$V$12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3'!$T$13:$T$17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3'!$V$13:$V$17</c:f>
              <c:numCache>
                <c:formatCode>0.0%</c:formatCode>
                <c:ptCount val="5"/>
                <c:pt idx="0">
                  <c:v>0.16363636363636364</c:v>
                </c:pt>
                <c:pt idx="1">
                  <c:v>0.10909090909090909</c:v>
                </c:pt>
                <c:pt idx="2">
                  <c:v>8.9090909090909096E-2</c:v>
                </c:pt>
                <c:pt idx="3">
                  <c:v>3.6363636363636362E-2</c:v>
                </c:pt>
                <c:pt idx="4">
                  <c:v>5.2727272727272727E-2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EFC-A384-EC68B8E897EC}"/>
            </c:ext>
          </c:extLst>
        </c:ser>
        <c:ser>
          <c:idx val="2"/>
          <c:order val="2"/>
          <c:tx>
            <c:strRef>
              <c:f>'Income Sheet - Stakeholder  3'!$W$12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3'!$T$13:$T$17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3'!$W$13:$W$17</c:f>
              <c:numCache>
                <c:formatCode>0.0%</c:formatCode>
                <c:ptCount val="5"/>
                <c:pt idx="0">
                  <c:v>0.12</c:v>
                </c:pt>
                <c:pt idx="1">
                  <c:v>7.0000000000000007E-2</c:v>
                </c:pt>
                <c:pt idx="2">
                  <c:v>5.5E-2</c:v>
                </c:pt>
                <c:pt idx="3">
                  <c:v>0.02</c:v>
                </c:pt>
                <c:pt idx="4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EFC-A384-EC68B8E89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055456"/>
        <c:axId val="261055848"/>
      </c:barChart>
      <c:catAx>
        <c:axId val="261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5848"/>
        <c:crosses val="autoZero"/>
        <c:auto val="1"/>
        <c:lblAlgn val="ctr"/>
        <c:lblOffset val="100"/>
        <c:noMultiLvlLbl val="0"/>
      </c:catAx>
      <c:valAx>
        <c:axId val="26105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545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3'!$U$24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3'!$T$25:$T$29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3'!$U$25:$U$29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BC-495B-9F3D-E3527430E931}"/>
            </c:ext>
          </c:extLst>
        </c:ser>
        <c:ser>
          <c:idx val="1"/>
          <c:order val="1"/>
          <c:tx>
            <c:strRef>
              <c:f>'Income Sheet - Stakeholder  3'!$V$24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3'!$T$25:$T$29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3'!$V$25:$V$29</c:f>
              <c:numCache>
                <c:formatCode>0%</c:formatCode>
                <c:ptCount val="5"/>
                <c:pt idx="0">
                  <c:v>0.2</c:v>
                </c:pt>
                <c:pt idx="1">
                  <c:v>0.14285714285714285</c:v>
                </c:pt>
                <c:pt idx="2">
                  <c:v>0.15294117647058825</c:v>
                </c:pt>
                <c:pt idx="3">
                  <c:v>0.14285714285714285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C-495B-9F3D-E3527430E931}"/>
            </c:ext>
          </c:extLst>
        </c:ser>
        <c:ser>
          <c:idx val="2"/>
          <c:order val="2"/>
          <c:tx>
            <c:strRef>
              <c:f>'Income Sheet - Stakeholder  3'!$W$24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3'!$T$25:$T$29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3'!$W$25:$W$29</c:f>
              <c:numCache>
                <c:formatCode>0%</c:formatCode>
                <c:ptCount val="5"/>
                <c:pt idx="0">
                  <c:v>-0.33333333333333331</c:v>
                </c:pt>
                <c:pt idx="1">
                  <c:v>-0.41666666666666669</c:v>
                </c:pt>
                <c:pt idx="2">
                  <c:v>-0.43877551020408162</c:v>
                </c:pt>
                <c:pt idx="3">
                  <c:v>-0.5</c:v>
                </c:pt>
                <c:pt idx="4">
                  <c:v>0.39655172413793105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C-495B-9F3D-E3527430E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332320"/>
        <c:axId val="261332712"/>
      </c:barChart>
      <c:catAx>
        <c:axId val="26133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2712"/>
        <c:crosses val="autoZero"/>
        <c:auto val="1"/>
        <c:lblAlgn val="ctr"/>
        <c:lblOffset val="100"/>
        <c:noMultiLvlLbl val="0"/>
      </c:catAx>
      <c:valAx>
        <c:axId val="26133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232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4'!$U$12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4'!$T$13:$T$17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4'!$U$13:$U$17</c:f>
              <c:numCache>
                <c:formatCode>0.0%</c:formatCode>
                <c:ptCount val="5"/>
                <c:pt idx="0">
                  <c:v>0.15789473684210525</c:v>
                </c:pt>
                <c:pt idx="1">
                  <c:v>0.11052631578947368</c:v>
                </c:pt>
                <c:pt idx="2">
                  <c:v>8.9473684210526316E-2</c:v>
                </c:pt>
                <c:pt idx="3">
                  <c:v>3.6842105263157891E-2</c:v>
                </c:pt>
                <c:pt idx="4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F-41A1-BB55-7DF9966CB9E4}"/>
            </c:ext>
          </c:extLst>
        </c:ser>
        <c:ser>
          <c:idx val="1"/>
          <c:order val="1"/>
          <c:tx>
            <c:strRef>
              <c:f>'Income Sheet - Stakeholder  4'!$V$12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4'!$T$13:$T$17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4'!$V$13:$V$17</c:f>
              <c:numCache>
                <c:formatCode>0.0%</c:formatCode>
                <c:ptCount val="5"/>
                <c:pt idx="0">
                  <c:v>0.16363636363636364</c:v>
                </c:pt>
                <c:pt idx="1">
                  <c:v>0.10909090909090909</c:v>
                </c:pt>
                <c:pt idx="2">
                  <c:v>8.9090909090909096E-2</c:v>
                </c:pt>
                <c:pt idx="3">
                  <c:v>3.6363636363636362E-2</c:v>
                </c:pt>
                <c:pt idx="4">
                  <c:v>5.2727272727272727E-2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4F-41A1-BB55-7DF9966CB9E4}"/>
            </c:ext>
          </c:extLst>
        </c:ser>
        <c:ser>
          <c:idx val="2"/>
          <c:order val="2"/>
          <c:tx>
            <c:strRef>
              <c:f>'Income Sheet - Stakeholder  4'!$W$12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4'!$T$13:$T$17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4'!$W$13:$W$17</c:f>
              <c:numCache>
                <c:formatCode>0.0%</c:formatCode>
                <c:ptCount val="5"/>
                <c:pt idx="0">
                  <c:v>0.12</c:v>
                </c:pt>
                <c:pt idx="1">
                  <c:v>7.0000000000000007E-2</c:v>
                </c:pt>
                <c:pt idx="2">
                  <c:v>5.5E-2</c:v>
                </c:pt>
                <c:pt idx="3">
                  <c:v>0.02</c:v>
                </c:pt>
                <c:pt idx="4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F-41A1-BB55-7DF9966C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333496"/>
        <c:axId val="261333888"/>
      </c:barChart>
      <c:catAx>
        <c:axId val="26133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3888"/>
        <c:crosses val="autoZero"/>
        <c:auto val="1"/>
        <c:lblAlgn val="ctr"/>
        <c:lblOffset val="100"/>
        <c:noMultiLvlLbl val="0"/>
      </c:catAx>
      <c:valAx>
        <c:axId val="2613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349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4'!$U$24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4'!$T$25:$T$29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4'!$U$25:$U$29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18-4B10-B7FC-91C54A23F6A3}"/>
            </c:ext>
          </c:extLst>
        </c:ser>
        <c:ser>
          <c:idx val="1"/>
          <c:order val="1"/>
          <c:tx>
            <c:strRef>
              <c:f>'Income Sheet - Stakeholder  4'!$V$24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4'!$T$25:$T$29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4'!$V$25:$V$29</c:f>
              <c:numCache>
                <c:formatCode>0%</c:formatCode>
                <c:ptCount val="5"/>
                <c:pt idx="0">
                  <c:v>0.2</c:v>
                </c:pt>
                <c:pt idx="1">
                  <c:v>0.14285714285714285</c:v>
                </c:pt>
                <c:pt idx="2">
                  <c:v>0.15294117647058825</c:v>
                </c:pt>
                <c:pt idx="3">
                  <c:v>0.14285714285714285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8-4B10-B7FC-91C54A23F6A3}"/>
            </c:ext>
          </c:extLst>
        </c:ser>
        <c:ser>
          <c:idx val="2"/>
          <c:order val="2"/>
          <c:tx>
            <c:strRef>
              <c:f>'Income Sheet - Stakeholder  4'!$W$24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4'!$T$25:$T$29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4'!$W$25:$W$29</c:f>
              <c:numCache>
                <c:formatCode>0%</c:formatCode>
                <c:ptCount val="5"/>
                <c:pt idx="0">
                  <c:v>-0.33333333333333331</c:v>
                </c:pt>
                <c:pt idx="1">
                  <c:v>-0.41666666666666669</c:v>
                </c:pt>
                <c:pt idx="2">
                  <c:v>-0.43877551020408162</c:v>
                </c:pt>
                <c:pt idx="3">
                  <c:v>-0.5</c:v>
                </c:pt>
                <c:pt idx="4">
                  <c:v>0.39655172413793105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8-4B10-B7FC-91C54A23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1334672"/>
        <c:axId val="261335064"/>
      </c:barChart>
      <c:catAx>
        <c:axId val="26133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5064"/>
        <c:crosses val="autoZero"/>
        <c:auto val="1"/>
        <c:lblAlgn val="ctr"/>
        <c:lblOffset val="100"/>
        <c:noMultiLvlLbl val="0"/>
      </c:catAx>
      <c:valAx>
        <c:axId val="26133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33467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5'!$U$12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5'!$T$13:$T$17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5'!$U$13:$U$17</c:f>
              <c:numCache>
                <c:formatCode>0.0%</c:formatCode>
                <c:ptCount val="5"/>
                <c:pt idx="0">
                  <c:v>0.15789473684210525</c:v>
                </c:pt>
                <c:pt idx="1">
                  <c:v>0.11052631578947368</c:v>
                </c:pt>
                <c:pt idx="2">
                  <c:v>8.9473684210526316E-2</c:v>
                </c:pt>
                <c:pt idx="3">
                  <c:v>3.6842105263157891E-2</c:v>
                </c:pt>
                <c:pt idx="4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E7-4D45-8AB6-4605F94F3B1E}"/>
            </c:ext>
          </c:extLst>
        </c:ser>
        <c:ser>
          <c:idx val="1"/>
          <c:order val="1"/>
          <c:tx>
            <c:strRef>
              <c:f>'Income Sheet - Stakeholder  5'!$V$12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5'!$T$13:$T$17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5'!$V$13:$V$17</c:f>
              <c:numCache>
                <c:formatCode>0.0%</c:formatCode>
                <c:ptCount val="5"/>
                <c:pt idx="0">
                  <c:v>0.16363636363636364</c:v>
                </c:pt>
                <c:pt idx="1">
                  <c:v>0.10909090909090909</c:v>
                </c:pt>
                <c:pt idx="2">
                  <c:v>8.9090909090909096E-2</c:v>
                </c:pt>
                <c:pt idx="3">
                  <c:v>3.6363636363636362E-2</c:v>
                </c:pt>
                <c:pt idx="4">
                  <c:v>5.2727272727272727E-2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E7-4D45-8AB6-4605F94F3B1E}"/>
            </c:ext>
          </c:extLst>
        </c:ser>
        <c:ser>
          <c:idx val="2"/>
          <c:order val="2"/>
          <c:tx>
            <c:strRef>
              <c:f>'Income Sheet - Stakeholder  5'!$W$12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5'!$T$13:$T$17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5'!$W$13:$W$17</c:f>
              <c:numCache>
                <c:formatCode>0.0%</c:formatCode>
                <c:ptCount val="5"/>
                <c:pt idx="0">
                  <c:v>0.12</c:v>
                </c:pt>
                <c:pt idx="1">
                  <c:v>7.0000000000000007E-2</c:v>
                </c:pt>
                <c:pt idx="2">
                  <c:v>5.5E-2</c:v>
                </c:pt>
                <c:pt idx="3">
                  <c:v>0.02</c:v>
                </c:pt>
                <c:pt idx="4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7-4D45-8AB6-4605F94F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951840"/>
        <c:axId val="260952232"/>
      </c:barChart>
      <c:catAx>
        <c:axId val="2609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952232"/>
        <c:crosses val="autoZero"/>
        <c:auto val="1"/>
        <c:lblAlgn val="ctr"/>
        <c:lblOffset val="100"/>
        <c:noMultiLvlLbl val="0"/>
      </c:catAx>
      <c:valAx>
        <c:axId val="26095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95184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 5'!$U$24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 5'!$T$25:$T$29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5'!$U$25:$U$29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5EA-44BA-A5C5-EFDADF1198B5}"/>
            </c:ext>
          </c:extLst>
        </c:ser>
        <c:ser>
          <c:idx val="1"/>
          <c:order val="1"/>
          <c:tx>
            <c:strRef>
              <c:f>'Income Sheet - Stakeholder  5'!$V$24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 5'!$T$25:$T$29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5'!$V$25:$V$29</c:f>
              <c:numCache>
                <c:formatCode>0%</c:formatCode>
                <c:ptCount val="5"/>
                <c:pt idx="0">
                  <c:v>0.2</c:v>
                </c:pt>
                <c:pt idx="1">
                  <c:v>0.14285714285714285</c:v>
                </c:pt>
                <c:pt idx="2">
                  <c:v>0.15294117647058825</c:v>
                </c:pt>
                <c:pt idx="3">
                  <c:v>0.14285714285714285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A-44BA-A5C5-EFDADF1198B5}"/>
            </c:ext>
          </c:extLst>
        </c:ser>
        <c:ser>
          <c:idx val="2"/>
          <c:order val="2"/>
          <c:tx>
            <c:strRef>
              <c:f>'Income Sheet - Stakeholder  5'!$W$24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 5'!$T$25:$T$29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 5'!$W$25:$W$29</c:f>
              <c:numCache>
                <c:formatCode>0%</c:formatCode>
                <c:ptCount val="5"/>
                <c:pt idx="0">
                  <c:v>-0.33333333333333331</c:v>
                </c:pt>
                <c:pt idx="1">
                  <c:v>-0.41666666666666669</c:v>
                </c:pt>
                <c:pt idx="2">
                  <c:v>-0.43877551020408162</c:v>
                </c:pt>
                <c:pt idx="3">
                  <c:v>-0.5</c:v>
                </c:pt>
                <c:pt idx="4">
                  <c:v>0.39655172413793105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EA-44BA-A5C5-EFDADF11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953016"/>
        <c:axId val="260953408"/>
      </c:barChart>
      <c:catAx>
        <c:axId val="26095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953408"/>
        <c:crosses val="autoZero"/>
        <c:auto val="1"/>
        <c:lblAlgn val="ctr"/>
        <c:lblOffset val="100"/>
        <c:noMultiLvlLbl val="0"/>
      </c:catAx>
      <c:valAx>
        <c:axId val="26095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95301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Sheet'!$U$15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Sheet'!$U$16:$U$20</c:f>
              <c:numCache>
                <c:formatCode>0.0%</c:formatCode>
                <c:ptCount val="5"/>
                <c:pt idx="0">
                  <c:v>0.21399109233046087</c:v>
                </c:pt>
                <c:pt idx="1">
                  <c:v>0.13788761109432354</c:v>
                </c:pt>
                <c:pt idx="2">
                  <c:v>0.10011481081879628</c:v>
                </c:pt>
                <c:pt idx="3">
                  <c:v>4.027316212593237E-2</c:v>
                </c:pt>
                <c:pt idx="4">
                  <c:v>5.9841648692863909E-2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1-4A0D-A640-3F2C1D06032B}"/>
            </c:ext>
          </c:extLst>
        </c:ser>
        <c:ser>
          <c:idx val="1"/>
          <c:order val="1"/>
          <c:tx>
            <c:strRef>
              <c:f>'Income Sheet'!$V$15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Sheet'!$V$16:$V$20</c:f>
              <c:numCache>
                <c:formatCode>0.0%</c:formatCode>
                <c:ptCount val="5"/>
                <c:pt idx="0">
                  <c:v>0.2252463853830903</c:v>
                </c:pt>
                <c:pt idx="1">
                  <c:v>0.14177117880323725</c:v>
                </c:pt>
                <c:pt idx="2">
                  <c:v>0.10340099918266267</c:v>
                </c:pt>
                <c:pt idx="3">
                  <c:v>3.845900513586898E-2</c:v>
                </c:pt>
                <c:pt idx="4">
                  <c:v>6.4941994046793697E-2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1-4A0D-A640-3F2C1D06032B}"/>
            </c:ext>
          </c:extLst>
        </c:ser>
        <c:ser>
          <c:idx val="2"/>
          <c:order val="2"/>
          <c:tx>
            <c:strRef>
              <c:f>'Income Sheet'!$W$15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Sheet'!$W$16:$W$20</c:f>
              <c:numCache>
                <c:formatCode>0.0%</c:formatCode>
                <c:ptCount val="5"/>
                <c:pt idx="0">
                  <c:v>0.19400120745974836</c:v>
                </c:pt>
                <c:pt idx="1">
                  <c:v>0.10737378289473179</c:v>
                </c:pt>
                <c:pt idx="2">
                  <c:v>7.1825811801626574E-2</c:v>
                </c:pt>
                <c:pt idx="3">
                  <c:v>2.4027212402156634E-2</c:v>
                </c:pt>
                <c:pt idx="4">
                  <c:v>4.7798599399469947E-2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1-4A0D-A640-3F2C1D060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225056"/>
        <c:axId val="240225448"/>
      </c:barChart>
      <c:catAx>
        <c:axId val="2402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40225448"/>
        <c:crosses val="autoZero"/>
        <c:auto val="1"/>
        <c:lblAlgn val="ctr"/>
        <c:lblOffset val="100"/>
        <c:noMultiLvlLbl val="0"/>
      </c:catAx>
      <c:valAx>
        <c:axId val="24022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4022505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layout>
        <c:manualLayout>
          <c:xMode val="edge"/>
          <c:yMode val="edge"/>
          <c:x val="0.41804340629514336"/>
          <c:y val="2.15903655968574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Sheet'!$U$27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Sheet'!$U$28:$U$32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66B-4E46-BE6C-B74AACE4A1EA}"/>
            </c:ext>
          </c:extLst>
        </c:ser>
        <c:ser>
          <c:idx val="1"/>
          <c:order val="1"/>
          <c:tx>
            <c:strRef>
              <c:f>'Income Sheet'!$V$27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Sheet'!$V$28:$V$32</c:f>
              <c:numCache>
                <c:formatCode>0%</c:formatCode>
                <c:ptCount val="5"/>
                <c:pt idx="0">
                  <c:v>0.2173931194171928</c:v>
                </c:pt>
                <c:pt idx="1">
                  <c:v>0.18913568191826058</c:v>
                </c:pt>
                <c:pt idx="2">
                  <c:v>0.19452463970229489</c:v>
                </c:pt>
                <c:pt idx="3">
                  <c:v>0.10446262330157222</c:v>
                </c:pt>
                <c:pt idx="4">
                  <c:v>0.25513597423471412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6B-4E46-BE6C-B74AACE4A1EA}"/>
            </c:ext>
          </c:extLst>
        </c:ser>
        <c:ser>
          <c:idx val="2"/>
          <c:order val="2"/>
          <c:tx>
            <c:strRef>
              <c:f>'Income Sheet'!$W$27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Sheet'!$W$28:$W$32</c:f>
              <c:numCache>
                <c:formatCode>0%</c:formatCode>
                <c:ptCount val="5"/>
                <c:pt idx="0">
                  <c:v>-0.20696270919559012</c:v>
                </c:pt>
                <c:pt idx="1">
                  <c:v>-0.30263955430397599</c:v>
                </c:pt>
                <c:pt idx="2">
                  <c:v>-0.36040830662412165</c:v>
                </c:pt>
                <c:pt idx="3">
                  <c:v>-0.42475566702352752</c:v>
                </c:pt>
                <c:pt idx="4">
                  <c:v>0.32230144679630052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6B-4E46-BE6C-B74AACE4A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266528"/>
        <c:axId val="260266920"/>
      </c:barChart>
      <c:catAx>
        <c:axId val="26026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6920"/>
        <c:crosses val="autoZero"/>
        <c:auto val="1"/>
        <c:lblAlgn val="ctr"/>
        <c:lblOffset val="100"/>
        <c:noMultiLvlLbl val="0"/>
      </c:catAx>
      <c:valAx>
        <c:axId val="26026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652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56808737867317"/>
          <c:y val="0.92428524163036874"/>
          <c:w val="0.19886368007799407"/>
          <c:h val="6.4286183512915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Finance KPI's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Sheet'!$X$10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Sheet'!$X$11:$X$16</c:f>
              <c:numCache>
                <c:formatCode>0%</c:formatCode>
                <c:ptCount val="6"/>
                <c:pt idx="0">
                  <c:v>0.40911618688746804</c:v>
                </c:pt>
                <c:pt idx="1">
                  <c:v>0.23259246676477313</c:v>
                </c:pt>
                <c:pt idx="2">
                  <c:v>0.13810003119954745</c:v>
                </c:pt>
                <c:pt idx="3">
                  <c:v>0.5</c:v>
                </c:pt>
                <c:pt idx="4">
                  <c:v>6.4788355598842315E-2</c:v>
                </c:pt>
                <c:pt idx="5">
                  <c:v>0.23259246676477313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1-4362-864F-D25929AF15E4}"/>
            </c:ext>
          </c:extLst>
        </c:ser>
        <c:ser>
          <c:idx val="1"/>
          <c:order val="1"/>
          <c:tx>
            <c:strRef>
              <c:f>'Balance Sheet'!$Y$10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Sheet'!$Y$11:$Y$16</c:f>
              <c:numCache>
                <c:formatCode>0%</c:formatCode>
                <c:ptCount val="6"/>
                <c:pt idx="0">
                  <c:v>0.5</c:v>
                </c:pt>
                <c:pt idx="1">
                  <c:v>0.19374887416832426</c:v>
                </c:pt>
                <c:pt idx="2">
                  <c:v>0.12870267550895381</c:v>
                </c:pt>
                <c:pt idx="3">
                  <c:v>0.5</c:v>
                </c:pt>
                <c:pt idx="4">
                  <c:v>7.2086950923968843E-2</c:v>
                </c:pt>
                <c:pt idx="5">
                  <c:v>0.19374887416832426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1-4362-864F-D25929AF15E4}"/>
            </c:ext>
          </c:extLst>
        </c:ser>
        <c:ser>
          <c:idx val="2"/>
          <c:order val="2"/>
          <c:tx>
            <c:strRef>
              <c:f>'Balance Sheet'!$Z$10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Sheet'!$Z$11:$Z$16</c:f>
              <c:numCache>
                <c:formatCode>0%</c:formatCode>
                <c:ptCount val="6"/>
                <c:pt idx="0">
                  <c:v>0.45416723192313152</c:v>
                </c:pt>
                <c:pt idx="1">
                  <c:v>0.21413546602941502</c:v>
                </c:pt>
                <c:pt idx="2">
                  <c:v>0.15670762484685719</c:v>
                </c:pt>
                <c:pt idx="3">
                  <c:v>0.5</c:v>
                </c:pt>
                <c:pt idx="4">
                  <c:v>4.7323514212810718E-2</c:v>
                </c:pt>
                <c:pt idx="5">
                  <c:v>0.21413546602941497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1-4362-864F-D25929AF1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267704"/>
        <c:axId val="260268096"/>
      </c:barChart>
      <c:catAx>
        <c:axId val="26026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8096"/>
        <c:crosses val="autoZero"/>
        <c:auto val="1"/>
        <c:lblAlgn val="ctr"/>
        <c:lblOffset val="100"/>
        <c:noMultiLvlLbl val="0"/>
      </c:catAx>
      <c:valAx>
        <c:axId val="26026809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770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Finance KPI's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'Balance Sheet'!$X$10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Sheet'!$X$11:$X$16</c:f>
              <c:numCache>
                <c:formatCode>0%</c:formatCode>
                <c:ptCount val="6"/>
                <c:pt idx="0">
                  <c:v>0.40911618688746804</c:v>
                </c:pt>
                <c:pt idx="1">
                  <c:v>0.23259246676477313</c:v>
                </c:pt>
                <c:pt idx="2">
                  <c:v>0.13810003119954745</c:v>
                </c:pt>
                <c:pt idx="3">
                  <c:v>0.5</c:v>
                </c:pt>
                <c:pt idx="4">
                  <c:v>6.4788355598842315E-2</c:v>
                </c:pt>
                <c:pt idx="5">
                  <c:v>0.23259246676477313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C-44C8-8CE5-CED5C4A5C408}"/>
            </c:ext>
          </c:extLst>
        </c:ser>
        <c:ser>
          <c:idx val="1"/>
          <c:order val="1"/>
          <c:tx>
            <c:strRef>
              <c:f>'Balance Sheet'!$Y$10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Sheet'!$Y$11:$Y$16</c:f>
              <c:numCache>
                <c:formatCode>0%</c:formatCode>
                <c:ptCount val="6"/>
                <c:pt idx="0">
                  <c:v>0.5</c:v>
                </c:pt>
                <c:pt idx="1">
                  <c:v>0.19374887416832426</c:v>
                </c:pt>
                <c:pt idx="2">
                  <c:v>0.12870267550895381</c:v>
                </c:pt>
                <c:pt idx="3">
                  <c:v>0.5</c:v>
                </c:pt>
                <c:pt idx="4">
                  <c:v>7.2086950923968843E-2</c:v>
                </c:pt>
                <c:pt idx="5">
                  <c:v>0.19374887416832426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C-44C8-8CE5-CED5C4A5C408}"/>
            </c:ext>
          </c:extLst>
        </c:ser>
        <c:ser>
          <c:idx val="2"/>
          <c:order val="2"/>
          <c:tx>
            <c:strRef>
              <c:f>'Balance Sheet'!$Z$10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'Balance Sheet'!$W$11:$W$16</c:f>
              <c:strCache>
                <c:ptCount val="6"/>
                <c:pt idx="0">
                  <c:v>Cash Ratio   [D/B]</c:v>
                </c:pt>
                <c:pt idx="1">
                  <c:v>Debt-to-Equity Ratio   [(G+H)/F]</c:v>
                </c:pt>
                <c:pt idx="2">
                  <c:v>Debt Ratio   [(G+H)/E]</c:v>
                </c:pt>
                <c:pt idx="3">
                  <c:v>Return on Assets (ROA)</c:v>
                </c:pt>
                <c:pt idx="4">
                  <c:v>Return on Capital Employed (ROCE)</c:v>
                </c:pt>
                <c:pt idx="5">
                  <c:v>Gearing ((H+G)/(E-I))</c:v>
                </c:pt>
              </c:strCache>
            </c:strRef>
          </c:cat>
          <c:val>
            <c:numRef>
              <c:f>'Balance Sheet'!$Z$11:$Z$16</c:f>
              <c:numCache>
                <c:formatCode>0%</c:formatCode>
                <c:ptCount val="6"/>
                <c:pt idx="0">
                  <c:v>0.45416723192313152</c:v>
                </c:pt>
                <c:pt idx="1">
                  <c:v>0.21413546602941502</c:v>
                </c:pt>
                <c:pt idx="2">
                  <c:v>0.15670762484685719</c:v>
                </c:pt>
                <c:pt idx="3">
                  <c:v>0.5</c:v>
                </c:pt>
                <c:pt idx="4">
                  <c:v>4.7323514212810718E-2</c:v>
                </c:pt>
                <c:pt idx="5">
                  <c:v>0.21413546602941497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C-44C8-8CE5-CED5C4A5C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9473856"/>
        <c:axId val="259474248"/>
      </c:barChart>
      <c:catAx>
        <c:axId val="2594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4248"/>
        <c:crosses val="autoZero"/>
        <c:auto val="1"/>
        <c:lblAlgn val="ctr"/>
        <c:lblOffset val="100"/>
        <c:noMultiLvlLbl val="0"/>
      </c:catAx>
      <c:valAx>
        <c:axId val="259474248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385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Sheet'!$U$15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Sheet'!$U$16:$U$20</c:f>
              <c:numCache>
                <c:formatCode>0.0%</c:formatCode>
                <c:ptCount val="5"/>
                <c:pt idx="0">
                  <c:v>0.21399109233046087</c:v>
                </c:pt>
                <c:pt idx="1">
                  <c:v>0.13788761109432354</c:v>
                </c:pt>
                <c:pt idx="2">
                  <c:v>0.10011481081879628</c:v>
                </c:pt>
                <c:pt idx="3">
                  <c:v>4.027316212593237E-2</c:v>
                </c:pt>
                <c:pt idx="4">
                  <c:v>5.9841648692863909E-2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5-4E42-AA23-05F093AE5FC1}"/>
            </c:ext>
          </c:extLst>
        </c:ser>
        <c:ser>
          <c:idx val="1"/>
          <c:order val="1"/>
          <c:tx>
            <c:strRef>
              <c:f>'Income Sheet'!$V$15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Sheet'!$V$16:$V$20</c:f>
              <c:numCache>
                <c:formatCode>0.0%</c:formatCode>
                <c:ptCount val="5"/>
                <c:pt idx="0">
                  <c:v>0.2252463853830903</c:v>
                </c:pt>
                <c:pt idx="1">
                  <c:v>0.14177117880323725</c:v>
                </c:pt>
                <c:pt idx="2">
                  <c:v>0.10340099918266267</c:v>
                </c:pt>
                <c:pt idx="3">
                  <c:v>3.845900513586898E-2</c:v>
                </c:pt>
                <c:pt idx="4">
                  <c:v>6.4941994046793697E-2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5-4E42-AA23-05F093AE5FC1}"/>
            </c:ext>
          </c:extLst>
        </c:ser>
        <c:ser>
          <c:idx val="2"/>
          <c:order val="2"/>
          <c:tx>
            <c:strRef>
              <c:f>'Income Sheet'!$W$15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Sheet'!$T$16:$T$20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Sheet'!$W$16:$W$20</c:f>
              <c:numCache>
                <c:formatCode>0.0%</c:formatCode>
                <c:ptCount val="5"/>
                <c:pt idx="0">
                  <c:v>0.19400120745974836</c:v>
                </c:pt>
                <c:pt idx="1">
                  <c:v>0.10737378289473179</c:v>
                </c:pt>
                <c:pt idx="2">
                  <c:v>7.1825811801626574E-2</c:v>
                </c:pt>
                <c:pt idx="3">
                  <c:v>2.4027212402156634E-2</c:v>
                </c:pt>
                <c:pt idx="4">
                  <c:v>4.7798599399469947E-2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5-4E42-AA23-05F093AE5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270056"/>
        <c:axId val="260269664"/>
      </c:barChart>
      <c:catAx>
        <c:axId val="260270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9664"/>
        <c:crosses val="autoZero"/>
        <c:auto val="1"/>
        <c:lblAlgn val="ctr"/>
        <c:lblOffset val="100"/>
        <c:noMultiLvlLbl val="0"/>
      </c:catAx>
      <c:valAx>
        <c:axId val="26026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70056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Sheet'!$U$27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Sheet'!$U$28:$U$32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6C5-4AE9-A3C9-CF1CDDCF3505}"/>
            </c:ext>
          </c:extLst>
        </c:ser>
        <c:ser>
          <c:idx val="1"/>
          <c:order val="1"/>
          <c:tx>
            <c:strRef>
              <c:f>'Income Sheet'!$V$27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Sheet'!$V$28:$V$32</c:f>
              <c:numCache>
                <c:formatCode>0%</c:formatCode>
                <c:ptCount val="5"/>
                <c:pt idx="0">
                  <c:v>0.2173931194171928</c:v>
                </c:pt>
                <c:pt idx="1">
                  <c:v>0.18913568191826058</c:v>
                </c:pt>
                <c:pt idx="2">
                  <c:v>0.19452463970229489</c:v>
                </c:pt>
                <c:pt idx="3">
                  <c:v>0.10446262330157222</c:v>
                </c:pt>
                <c:pt idx="4">
                  <c:v>0.25513597423471412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5-4AE9-A3C9-CF1CDDCF3505}"/>
            </c:ext>
          </c:extLst>
        </c:ser>
        <c:ser>
          <c:idx val="2"/>
          <c:order val="2"/>
          <c:tx>
            <c:strRef>
              <c:f>'Income Sheet'!$W$27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Sheet'!$T$28:$T$32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Sheet'!$W$28:$W$32</c:f>
              <c:numCache>
                <c:formatCode>0%</c:formatCode>
                <c:ptCount val="5"/>
                <c:pt idx="0">
                  <c:v>-0.20696270919559012</c:v>
                </c:pt>
                <c:pt idx="1">
                  <c:v>-0.30263955430397599</c:v>
                </c:pt>
                <c:pt idx="2">
                  <c:v>-0.36040830662412165</c:v>
                </c:pt>
                <c:pt idx="3">
                  <c:v>-0.42475566702352752</c:v>
                </c:pt>
                <c:pt idx="4">
                  <c:v>0.32230144679630052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5-4AE9-A3C9-CF1CDDCF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0268880"/>
        <c:axId val="259475032"/>
      </c:barChart>
      <c:catAx>
        <c:axId val="2602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5032"/>
        <c:crosses val="autoZero"/>
        <c:auto val="1"/>
        <c:lblAlgn val="ctr"/>
        <c:lblOffset val="100"/>
        <c:noMultiLvlLbl val="0"/>
      </c:catAx>
      <c:valAx>
        <c:axId val="25947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0268880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Income</a:t>
            </a:r>
            <a:r>
              <a:rPr lang="da-DK" baseline="0"/>
              <a:t> Margin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1'!$U$12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1'!$T$13:$T$17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1'!$U$13:$U$17</c:f>
              <c:numCache>
                <c:formatCode>0.0%</c:formatCode>
                <c:ptCount val="5"/>
                <c:pt idx="0">
                  <c:v>1</c:v>
                </c:pt>
                <c:pt idx="1">
                  <c:v>0.81513913137818372</c:v>
                </c:pt>
                <c:pt idx="2">
                  <c:v>0.80245362853061364</c:v>
                </c:pt>
                <c:pt idx="3">
                  <c:v>8.4353456115165825E-3</c:v>
                </c:pt>
                <c:pt idx="4">
                  <c:v>0.79401828291909693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3-42D0-9FB6-49B1CD728D95}"/>
            </c:ext>
          </c:extLst>
        </c:ser>
        <c:ser>
          <c:idx val="1"/>
          <c:order val="1"/>
          <c:tx>
            <c:strRef>
              <c:f>'Income Sheet - Stakeholder 1'!$V$12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1'!$T$13:$T$17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1'!$V$13:$V$17</c:f>
              <c:numCache>
                <c:formatCode>0.0%</c:formatCode>
                <c:ptCount val="5"/>
                <c:pt idx="0">
                  <c:v>1</c:v>
                </c:pt>
                <c:pt idx="1">
                  <c:v>0.92052131651923341</c:v>
                </c:pt>
                <c:pt idx="2">
                  <c:v>0.91483703090306823</c:v>
                </c:pt>
                <c:pt idx="3">
                  <c:v>5.6601917252335258E-2</c:v>
                </c:pt>
                <c:pt idx="4">
                  <c:v>0.85823511365073313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3-42D0-9FB6-49B1CD728D95}"/>
            </c:ext>
          </c:extLst>
        </c:ser>
        <c:ser>
          <c:idx val="2"/>
          <c:order val="2"/>
          <c:tx>
            <c:strRef>
              <c:f>'Income Sheet - Stakeholder 1'!$W$12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1'!$T$13:$T$17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1'!$W$13:$W$17</c:f>
              <c:numCache>
                <c:formatCode>0.0%</c:formatCode>
                <c:ptCount val="5"/>
                <c:pt idx="0">
                  <c:v>1</c:v>
                </c:pt>
                <c:pt idx="1">
                  <c:v>0.79729761458333048</c:v>
                </c:pt>
                <c:pt idx="2">
                  <c:v>0.77328846220915171</c:v>
                </c:pt>
                <c:pt idx="3">
                  <c:v>8.2045334609945814E-2</c:v>
                </c:pt>
                <c:pt idx="4">
                  <c:v>0.69124312759920592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3-42D0-9FB6-49B1CD728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9473464"/>
        <c:axId val="259476208"/>
      </c:barChart>
      <c:catAx>
        <c:axId val="25947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6208"/>
        <c:crosses val="autoZero"/>
        <c:auto val="1"/>
        <c:lblAlgn val="ctr"/>
        <c:lblOffset val="100"/>
        <c:noMultiLvlLbl val="0"/>
      </c:catAx>
      <c:valAx>
        <c:axId val="25947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346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Growth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title>
    <c:autoTitleDeleted val="0"/>
    <c:plotArea>
      <c:layout>
        <c:manualLayout>
          <c:layoutTarget val="inner"/>
          <c:xMode val="edge"/>
          <c:yMode val="edge"/>
          <c:x val="4.6720045323171026E-2"/>
          <c:y val="0.14587999415294511"/>
          <c:w val="0.92336414282142809"/>
          <c:h val="0.72088457764938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'Income Sheet - Stakeholder 1'!$U$24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Sheet - Stakeholder 1'!$T$25:$T$29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1'!$U$25:$U$29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5BC-4F89-9306-046D2A13ED81}"/>
            </c:ext>
          </c:extLst>
        </c:ser>
        <c:ser>
          <c:idx val="1"/>
          <c:order val="1"/>
          <c:tx>
            <c:strRef>
              <c:f>'Income Sheet - Stakeholder 1'!$V$24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'Income Sheet - Stakeholder 1'!$T$25:$T$29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1'!$V$25:$V$29</c:f>
              <c:numCache>
                <c:formatCode>0%</c:formatCode>
                <c:ptCount val="5"/>
                <c:pt idx="0">
                  <c:v>1.3420758412626255</c:v>
                </c:pt>
                <c:pt idx="1">
                  <c:v>1.6448622741762589</c:v>
                </c:pt>
                <c:pt idx="2">
                  <c:v>1.6700828964957011</c:v>
                </c:pt>
                <c:pt idx="3">
                  <c:v>14.715536632530073</c:v>
                </c:pt>
                <c:pt idx="4">
                  <c:v>1.5314930009104983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F89-9306-046D2A13ED81}"/>
            </c:ext>
          </c:extLst>
        </c:ser>
        <c:ser>
          <c:idx val="2"/>
          <c:order val="2"/>
          <c:tx>
            <c:strRef>
              <c:f>'Income Sheet - Stakeholder 1'!$W$24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'Income Sheet - Stakeholder 1'!$T$25:$T$29</c:f>
              <c:strCache>
                <c:ptCount val="5"/>
                <c:pt idx="0">
                  <c:v>Gross Profit</c:v>
                </c:pt>
                <c:pt idx="1">
                  <c:v>Operating profit / EBIDA</c:v>
                </c:pt>
                <c:pt idx="2">
                  <c:v>Earnings before tax / EBIT / PBIT</c:v>
                </c:pt>
                <c:pt idx="3">
                  <c:v>Financial Expenses</c:v>
                </c:pt>
                <c:pt idx="4">
                  <c:v>Net income / Net profit</c:v>
                </c:pt>
              </c:strCache>
            </c:strRef>
          </c:cat>
          <c:val>
            <c:numRef>
              <c:f>'Income Sheet - Stakeholder 1'!$W$25:$W$29</c:f>
              <c:numCache>
                <c:formatCode>0%</c:formatCode>
                <c:ptCount val="5"/>
                <c:pt idx="0">
                  <c:v>-0.3532658306289102</c:v>
                </c:pt>
                <c:pt idx="1">
                  <c:v>-0.43983957649249311</c:v>
                </c:pt>
                <c:pt idx="2">
                  <c:v>-0.45333206418480393</c:v>
                </c:pt>
                <c:pt idx="3">
                  <c:v>-6.2549045941597756E-2</c:v>
                </c:pt>
                <c:pt idx="4">
                  <c:v>0.47910480141077272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BC-4F89-9306-046D2A13E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59476992"/>
        <c:axId val="261052320"/>
      </c:barChart>
      <c:catAx>
        <c:axId val="25947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61052320"/>
        <c:crosses val="autoZero"/>
        <c:auto val="1"/>
        <c:lblAlgn val="ctr"/>
        <c:lblOffset val="100"/>
        <c:noMultiLvlLbl val="0"/>
      </c:catAx>
      <c:valAx>
        <c:axId val="2610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G"/>
          </a:p>
        </c:txPr>
        <c:crossAx val="2594769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G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1294342</xdr:colOff>
      <xdr:row>33</xdr:row>
      <xdr:rowOff>40217</xdr:rowOff>
    </xdr:from>
    <xdr:to>
      <xdr:col>1</xdr:col>
      <xdr:colOff>1475317</xdr:colOff>
      <xdr:row>34</xdr:row>
      <xdr:rowOff>2117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42759" y="7321550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</xdr:col>
      <xdr:colOff>1294342</xdr:colOff>
      <xdr:row>35</xdr:row>
      <xdr:rowOff>17993</xdr:rowOff>
    </xdr:from>
    <xdr:to>
      <xdr:col>1</xdr:col>
      <xdr:colOff>1475317</xdr:colOff>
      <xdr:row>35</xdr:row>
      <xdr:rowOff>170393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2759" y="7690910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</xdr:col>
      <xdr:colOff>1294342</xdr:colOff>
      <xdr:row>34</xdr:row>
      <xdr:rowOff>28575</xdr:rowOff>
    </xdr:from>
    <xdr:to>
      <xdr:col>1</xdr:col>
      <xdr:colOff>1475317</xdr:colOff>
      <xdr:row>34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42759" y="7500408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oneCell">
    <xdr:from>
      <xdr:col>9</xdr:col>
      <xdr:colOff>12633</xdr:colOff>
      <xdr:row>33</xdr:row>
      <xdr:rowOff>137584</xdr:rowOff>
    </xdr:from>
    <xdr:to>
      <xdr:col>10</xdr:col>
      <xdr:colOff>612860</xdr:colOff>
      <xdr:row>41</xdr:row>
      <xdr:rowOff>3755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133" y="7418917"/>
          <a:ext cx="2103061" cy="1411338"/>
        </a:xfrm>
        <a:prstGeom prst="rect">
          <a:avLst/>
        </a:prstGeom>
      </xdr:spPr>
    </xdr:pic>
    <xdr:clientData/>
  </xdr:twoCellAnchor>
  <xdr:twoCellAnchor>
    <xdr:from>
      <xdr:col>1</xdr:col>
      <xdr:colOff>1286934</xdr:colOff>
      <xdr:row>37</xdr:row>
      <xdr:rowOff>14818</xdr:rowOff>
    </xdr:from>
    <xdr:to>
      <xdr:col>1</xdr:col>
      <xdr:colOff>1467909</xdr:colOff>
      <xdr:row>37</xdr:row>
      <xdr:rowOff>167218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5351" y="8068735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</xdr:col>
      <xdr:colOff>1291167</xdr:colOff>
      <xdr:row>36</xdr:row>
      <xdr:rowOff>19051</xdr:rowOff>
    </xdr:from>
    <xdr:to>
      <xdr:col>1</xdr:col>
      <xdr:colOff>1472142</xdr:colOff>
      <xdr:row>36</xdr:row>
      <xdr:rowOff>171451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39584" y="7882468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1</xdr:col>
      <xdr:colOff>1291166</xdr:colOff>
      <xdr:row>38</xdr:row>
      <xdr:rowOff>10583</xdr:rowOff>
    </xdr:from>
    <xdr:to>
      <xdr:col>1</xdr:col>
      <xdr:colOff>1472141</xdr:colOff>
      <xdr:row>38</xdr:row>
      <xdr:rowOff>162983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39583" y="8255000"/>
          <a:ext cx="180975" cy="152400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8164</xdr:colOff>
      <xdr:row>0</xdr:row>
      <xdr:rowOff>0</xdr:rowOff>
    </xdr:from>
    <xdr:to>
      <xdr:col>4</xdr:col>
      <xdr:colOff>13607</xdr:colOff>
      <xdr:row>3</xdr:row>
      <xdr:rowOff>145350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235" y="0"/>
          <a:ext cx="1134836" cy="7576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13607</xdr:colOff>
      <xdr:row>0</xdr:row>
      <xdr:rowOff>0</xdr:rowOff>
    </xdr:from>
    <xdr:to>
      <xdr:col>4</xdr:col>
      <xdr:colOff>13607</xdr:colOff>
      <xdr:row>3</xdr:row>
      <xdr:rowOff>191258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14" y="0"/>
          <a:ext cx="1197429" cy="8035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13607</xdr:colOff>
      <xdr:row>0</xdr:row>
      <xdr:rowOff>0</xdr:rowOff>
    </xdr:from>
    <xdr:to>
      <xdr:col>4</xdr:col>
      <xdr:colOff>12746</xdr:colOff>
      <xdr:row>3</xdr:row>
      <xdr:rowOff>163286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8893" y="0"/>
          <a:ext cx="1155746" cy="77560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0</xdr:row>
      <xdr:rowOff>0</xdr:rowOff>
    </xdr:from>
    <xdr:to>
      <xdr:col>4</xdr:col>
      <xdr:colOff>0</xdr:colOff>
      <xdr:row>4</xdr:row>
      <xdr:rowOff>51071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1358" y="0"/>
          <a:ext cx="1292678" cy="867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13608</xdr:colOff>
      <xdr:row>0</xdr:row>
      <xdr:rowOff>0</xdr:rowOff>
    </xdr:from>
    <xdr:to>
      <xdr:col>4</xdr:col>
      <xdr:colOff>4733</xdr:colOff>
      <xdr:row>4</xdr:row>
      <xdr:rowOff>81641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9394" y="0"/>
          <a:ext cx="1338232" cy="8980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209549</xdr:rowOff>
    </xdr:from>
    <xdr:to>
      <xdr:col>18</xdr:col>
      <xdr:colOff>247650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9525</xdr:rowOff>
    </xdr:from>
    <xdr:to>
      <xdr:col>18</xdr:col>
      <xdr:colOff>257175</xdr:colOff>
      <xdr:row>42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453571</xdr:colOff>
      <xdr:row>0</xdr:row>
      <xdr:rowOff>0</xdr:rowOff>
    </xdr:from>
    <xdr:to>
      <xdr:col>3</xdr:col>
      <xdr:colOff>387803</xdr:colOff>
      <xdr:row>3</xdr:row>
      <xdr:rowOff>24982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107" y="181428"/>
          <a:ext cx="1034142" cy="694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209549</xdr:rowOff>
    </xdr:from>
    <xdr:to>
      <xdr:col>18</xdr:col>
      <xdr:colOff>247650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9525</xdr:rowOff>
    </xdr:from>
    <xdr:to>
      <xdr:col>18</xdr:col>
      <xdr:colOff>257175</xdr:colOff>
      <xdr:row>42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624416</xdr:colOff>
      <xdr:row>0</xdr:row>
      <xdr:rowOff>0</xdr:rowOff>
    </xdr:from>
    <xdr:to>
      <xdr:col>3</xdr:col>
      <xdr:colOff>600225</xdr:colOff>
      <xdr:row>2</xdr:row>
      <xdr:rowOff>207167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833" y="0"/>
          <a:ext cx="1034142" cy="694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209549</xdr:rowOff>
    </xdr:from>
    <xdr:to>
      <xdr:col>18</xdr:col>
      <xdr:colOff>247650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9525</xdr:rowOff>
    </xdr:from>
    <xdr:to>
      <xdr:col>18</xdr:col>
      <xdr:colOff>257175</xdr:colOff>
      <xdr:row>42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624567</xdr:colOff>
      <xdr:row>3</xdr:row>
      <xdr:rowOff>8200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0"/>
          <a:ext cx="1034142" cy="694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209549</xdr:rowOff>
    </xdr:from>
    <xdr:to>
      <xdr:col>18</xdr:col>
      <xdr:colOff>247650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9525</xdr:rowOff>
    </xdr:from>
    <xdr:to>
      <xdr:col>18</xdr:col>
      <xdr:colOff>257175</xdr:colOff>
      <xdr:row>42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428625</xdr:colOff>
      <xdr:row>0</xdr:row>
      <xdr:rowOff>0</xdr:rowOff>
    </xdr:from>
    <xdr:to>
      <xdr:col>3</xdr:col>
      <xdr:colOff>643617</xdr:colOff>
      <xdr:row>2</xdr:row>
      <xdr:rowOff>189175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0"/>
          <a:ext cx="1034142" cy="694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2</xdr:row>
      <xdr:rowOff>209549</xdr:rowOff>
    </xdr:from>
    <xdr:to>
      <xdr:col>18</xdr:col>
      <xdr:colOff>247650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9525</xdr:rowOff>
    </xdr:from>
    <xdr:to>
      <xdr:col>18</xdr:col>
      <xdr:colOff>257175</xdr:colOff>
      <xdr:row>42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438150</xdr:colOff>
      <xdr:row>0</xdr:row>
      <xdr:rowOff>0</xdr:rowOff>
    </xdr:from>
    <xdr:to>
      <xdr:col>3</xdr:col>
      <xdr:colOff>519792</xdr:colOff>
      <xdr:row>2</xdr:row>
      <xdr:rowOff>208225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0"/>
          <a:ext cx="1034142" cy="69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</xdr:row>
      <xdr:rowOff>9524</xdr:rowOff>
    </xdr:from>
    <xdr:to>
      <xdr:col>10</xdr:col>
      <xdr:colOff>793750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246106</xdr:colOff>
      <xdr:row>18</xdr:row>
      <xdr:rowOff>96796</xdr:rowOff>
    </xdr:from>
    <xdr:ext cx="264560" cy="68057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6200000">
          <a:off x="38100" y="3733802"/>
          <a:ext cx="6805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a-DK" sz="1100" b="1">
              <a:solidFill>
                <a:schemeClr val="bg1"/>
              </a:solidFill>
            </a:rPr>
            <a:t>Mio US$</a:t>
          </a:r>
        </a:p>
      </xdr:txBody>
    </xdr:sp>
    <xdr:clientData/>
  </xdr:oneCellAnchor>
  <xdr:twoCellAnchor>
    <xdr:from>
      <xdr:col>0</xdr:col>
      <xdr:colOff>29481</xdr:colOff>
      <xdr:row>28</xdr:row>
      <xdr:rowOff>88446</xdr:rowOff>
    </xdr:from>
    <xdr:to>
      <xdr:col>10</xdr:col>
      <xdr:colOff>782410</xdr:colOff>
      <xdr:row>44</xdr:row>
      <xdr:rowOff>67077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27021</xdr:colOff>
      <xdr:row>44</xdr:row>
      <xdr:rowOff>98659</xdr:rowOff>
    </xdr:from>
    <xdr:to>
      <xdr:col>10</xdr:col>
      <xdr:colOff>792536</xdr:colOff>
      <xdr:row>59</xdr:row>
      <xdr:rowOff>120740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104775</xdr:colOff>
      <xdr:row>67</xdr:row>
      <xdr:rowOff>95250</xdr:rowOff>
    </xdr:from>
    <xdr:to>
      <xdr:col>14</xdr:col>
      <xdr:colOff>889352</xdr:colOff>
      <xdr:row>76</xdr:row>
      <xdr:rowOff>134064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3506450"/>
          <a:ext cx="2613377" cy="1753314"/>
        </a:xfrm>
        <a:prstGeom prst="rect">
          <a:avLst/>
        </a:prstGeom>
      </xdr:spPr>
    </xdr:pic>
    <xdr:clientData/>
  </xdr:twoCellAnchor>
  <xdr:twoCellAnchor>
    <xdr:from>
      <xdr:col>0</xdr:col>
      <xdr:colOff>26831</xdr:colOff>
      <xdr:row>59</xdr:row>
      <xdr:rowOff>134155</xdr:rowOff>
    </xdr:from>
    <xdr:to>
      <xdr:col>10</xdr:col>
      <xdr:colOff>791513</xdr:colOff>
      <xdr:row>76</xdr:row>
      <xdr:rowOff>93908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1</xdr:rowOff>
    </xdr:from>
    <xdr:to>
      <xdr:col>3</xdr:col>
      <xdr:colOff>735932</xdr:colOff>
      <xdr:row>5</xdr:row>
      <xdr:rowOff>202614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"/>
          <a:ext cx="1848996" cy="1240838"/>
        </a:xfrm>
        <a:prstGeom prst="rect">
          <a:avLst/>
        </a:prstGeom>
      </xdr:spPr>
    </xdr:pic>
    <xdr:clientData/>
  </xdr:twoCellAnchor>
  <xdr:twoCellAnchor>
    <xdr:from>
      <xdr:col>8</xdr:col>
      <xdr:colOff>95248</xdr:colOff>
      <xdr:row>8</xdr:row>
      <xdr:rowOff>176894</xdr:rowOff>
    </xdr:from>
    <xdr:to>
      <xdr:col>21</xdr:col>
      <xdr:colOff>299356</xdr:colOff>
      <xdr:row>34</xdr:row>
      <xdr:rowOff>13608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5</xdr:row>
      <xdr:rowOff>209549</xdr:rowOff>
    </xdr:from>
    <xdr:to>
      <xdr:col>18</xdr:col>
      <xdr:colOff>247650</xdr:colOff>
      <xdr:row>25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9525</xdr:rowOff>
    </xdr:from>
    <xdr:to>
      <xdr:col>18</xdr:col>
      <xdr:colOff>257175</xdr:colOff>
      <xdr:row>45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2743200</xdr:colOff>
      <xdr:row>0</xdr:row>
      <xdr:rowOff>0</xdr:rowOff>
    </xdr:from>
    <xdr:to>
      <xdr:col>3</xdr:col>
      <xdr:colOff>432493</xdr:colOff>
      <xdr:row>5</xdr:row>
      <xdr:rowOff>202613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0"/>
          <a:ext cx="1848996" cy="1240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38100</xdr:rowOff>
    </xdr:from>
    <xdr:to>
      <xdr:col>2</xdr:col>
      <xdr:colOff>1962150</xdr:colOff>
      <xdr:row>2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9550" y="38100"/>
          <a:ext cx="48672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>
              <a:latin typeface="Arial Black" panose="020B0A04020102020204" pitchFamily="34" charset="0"/>
            </a:rPr>
            <a:t>Pre-Conditions</a:t>
          </a:r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5</xdr:col>
      <xdr:colOff>505971</xdr:colOff>
      <xdr:row>6</xdr:row>
      <xdr:rowOff>97838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0"/>
          <a:ext cx="1848996" cy="12408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2</xdr:col>
      <xdr:colOff>590551</xdr:colOff>
      <xdr:row>2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8101" y="38100"/>
          <a:ext cx="39814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>
              <a:latin typeface="Arial Black" panose="020B0A04020102020204" pitchFamily="34" charset="0"/>
            </a:rPr>
            <a:t>Plant Technical</a:t>
          </a:r>
          <a:r>
            <a:rPr lang="da-DK" sz="1600" baseline="0">
              <a:latin typeface="Arial Black" panose="020B0A04020102020204" pitchFamily="34" charset="0"/>
            </a:rPr>
            <a:t> Details</a:t>
          </a:r>
          <a:endParaRPr lang="da-DK" sz="1600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2</xdr:col>
      <xdr:colOff>800100</xdr:colOff>
      <xdr:row>0</xdr:row>
      <xdr:rowOff>0</xdr:rowOff>
    </xdr:from>
    <xdr:to>
      <xdr:col>5</xdr:col>
      <xdr:colOff>20196</xdr:colOff>
      <xdr:row>6</xdr:row>
      <xdr:rowOff>97838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0"/>
          <a:ext cx="1848996" cy="1240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3</xdr:col>
      <xdr:colOff>19050</xdr:colOff>
      <xdr:row>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28600" y="0"/>
          <a:ext cx="32956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>
              <a:latin typeface="Arial Black" panose="020B0A04020102020204" pitchFamily="34" charset="0"/>
            </a:rPr>
            <a:t>Project Investment Budget</a:t>
          </a:r>
        </a:p>
      </xdr:txBody>
    </xdr:sp>
    <xdr:clientData/>
  </xdr:twoCellAnchor>
  <xdr:twoCellAnchor editAs="oneCell">
    <xdr:from>
      <xdr:col>0</xdr:col>
      <xdr:colOff>0</xdr:colOff>
      <xdr:row>34</xdr:row>
      <xdr:rowOff>171450</xdr:rowOff>
    </xdr:from>
    <xdr:to>
      <xdr:col>1</xdr:col>
      <xdr:colOff>1119019</xdr:colOff>
      <xdr:row>40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77025"/>
          <a:ext cx="1461919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0</xdr:rowOff>
    </xdr:from>
    <xdr:to>
      <xdr:col>7</xdr:col>
      <xdr:colOff>247650</xdr:colOff>
      <xdr:row>2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743200" y="0"/>
          <a:ext cx="26479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>
              <a:latin typeface="Arial Black" panose="020B0A04020102020204" pitchFamily="34" charset="0"/>
            </a:rPr>
            <a:t>Financing of Project</a:t>
          </a:r>
        </a:p>
      </xdr:txBody>
    </xdr:sp>
    <xdr:clientData/>
  </xdr:twoCellAnchor>
  <xdr:twoCellAnchor editAs="oneCell">
    <xdr:from>
      <xdr:col>11</xdr:col>
      <xdr:colOff>9525</xdr:colOff>
      <xdr:row>0</xdr:row>
      <xdr:rowOff>0</xdr:rowOff>
    </xdr:from>
    <xdr:to>
      <xdr:col>14</xdr:col>
      <xdr:colOff>315471</xdr:colOff>
      <xdr:row>5</xdr:row>
      <xdr:rowOff>107363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0"/>
          <a:ext cx="1848996" cy="12408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57150</xdr:rowOff>
    </xdr:from>
    <xdr:to>
      <xdr:col>2</xdr:col>
      <xdr:colOff>161925</xdr:colOff>
      <xdr:row>6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71450" y="57150"/>
          <a:ext cx="35718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>
              <a:latin typeface="Arial Black" panose="020B0A04020102020204" pitchFamily="34" charset="0"/>
            </a:rPr>
            <a:t>Income of Project</a:t>
          </a:r>
        </a:p>
      </xdr:txBody>
    </xdr:sp>
    <xdr:clientData/>
  </xdr:twoCellAnchor>
  <xdr:twoCellAnchor editAs="oneCell">
    <xdr:from>
      <xdr:col>2</xdr:col>
      <xdr:colOff>161925</xdr:colOff>
      <xdr:row>0</xdr:row>
      <xdr:rowOff>66675</xdr:rowOff>
    </xdr:from>
    <xdr:to>
      <xdr:col>4</xdr:col>
      <xdr:colOff>401196</xdr:colOff>
      <xdr:row>6</xdr:row>
      <xdr:rowOff>164513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66675"/>
          <a:ext cx="1848996" cy="124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DL\Modeller\Balance%20sheet%20with%20ratio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Balance sheet with ratios3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D38A8-66C5-42F5-BE34-01A653D4427C}">
  <dimension ref="B4:E18"/>
  <sheetViews>
    <sheetView tabSelected="1" workbookViewId="0">
      <selection activeCell="B25" sqref="B25"/>
    </sheetView>
  </sheetViews>
  <sheetFormatPr defaultRowHeight="14.35"/>
  <cols>
    <col min="1" max="1" width="8.9375" style="583"/>
    <col min="2" max="2" width="18.3515625" style="583" customWidth="1"/>
    <col min="3" max="3" width="10.29296875" style="583" bestFit="1" customWidth="1"/>
    <col min="4" max="4" width="15.05859375" style="583" bestFit="1" customWidth="1"/>
    <col min="5" max="5" width="47.234375" style="583" customWidth="1"/>
    <col min="6" max="16384" width="8.9375" style="583"/>
  </cols>
  <sheetData>
    <row r="4" spans="2:5" ht="18">
      <c r="B4" s="580" t="s">
        <v>401</v>
      </c>
      <c r="C4" s="581"/>
      <c r="D4" s="581"/>
      <c r="E4" s="582"/>
    </row>
    <row r="5" spans="2:5">
      <c r="B5" s="584" t="s">
        <v>402</v>
      </c>
      <c r="C5" s="585" t="s">
        <v>414</v>
      </c>
      <c r="D5" s="585"/>
      <c r="E5" s="585"/>
    </row>
    <row r="6" spans="2:5">
      <c r="B6" s="584" t="s">
        <v>403</v>
      </c>
      <c r="C6" s="585" t="s">
        <v>415</v>
      </c>
      <c r="D6" s="585"/>
      <c r="E6" s="585"/>
    </row>
    <row r="7" spans="2:5">
      <c r="B7" s="584" t="s">
        <v>404</v>
      </c>
      <c r="C7" s="585" t="s">
        <v>405</v>
      </c>
      <c r="D7" s="585"/>
      <c r="E7" s="585"/>
    </row>
    <row r="8" spans="2:5">
      <c r="B8" s="584" t="s">
        <v>406</v>
      </c>
      <c r="C8" s="585" t="s">
        <v>407</v>
      </c>
      <c r="D8" s="585"/>
      <c r="E8" s="585"/>
    </row>
    <row r="9" spans="2:5">
      <c r="B9" s="584" t="s">
        <v>408</v>
      </c>
      <c r="C9" s="585" t="s">
        <v>407</v>
      </c>
      <c r="D9" s="585"/>
      <c r="E9" s="585"/>
    </row>
    <row r="10" spans="2:5" ht="28.7">
      <c r="B10" s="584" t="s">
        <v>409</v>
      </c>
      <c r="C10" s="586">
        <v>2</v>
      </c>
      <c r="D10" s="584" t="s">
        <v>410</v>
      </c>
      <c r="E10" s="586" t="s">
        <v>411</v>
      </c>
    </row>
    <row r="11" spans="2:5">
      <c r="B11" s="584" t="s">
        <v>412</v>
      </c>
      <c r="C11" s="590">
        <v>41964</v>
      </c>
      <c r="D11" s="590"/>
      <c r="E11" s="590"/>
    </row>
    <row r="12" spans="2:5" ht="15.7">
      <c r="B12" s="584" t="s">
        <v>413</v>
      </c>
      <c r="C12" s="587" t="s">
        <v>423</v>
      </c>
      <c r="D12" s="587"/>
      <c r="E12" s="587"/>
    </row>
    <row r="13" spans="2:5" ht="18">
      <c r="B13" s="588"/>
    </row>
    <row r="14" spans="2:5">
      <c r="B14" s="589"/>
      <c r="C14" s="589"/>
      <c r="D14" s="589"/>
      <c r="E14" s="589"/>
    </row>
    <row r="15" spans="2:5" ht="28.7" customHeight="1">
      <c r="B15" s="580" t="s">
        <v>416</v>
      </c>
      <c r="C15" s="581"/>
      <c r="D15" s="581"/>
      <c r="E15" s="582"/>
    </row>
    <row r="16" spans="2:5" ht="14.35" customHeight="1">
      <c r="B16" s="584" t="s">
        <v>417</v>
      </c>
      <c r="C16" s="584" t="s">
        <v>418</v>
      </c>
      <c r="D16" s="584" t="s">
        <v>419</v>
      </c>
      <c r="E16" s="584" t="s">
        <v>420</v>
      </c>
    </row>
    <row r="17" spans="2:5">
      <c r="B17" s="586">
        <v>1</v>
      </c>
      <c r="C17" s="591">
        <v>41964</v>
      </c>
      <c r="D17" s="586" t="s">
        <v>405</v>
      </c>
      <c r="E17" s="586" t="s">
        <v>421</v>
      </c>
    </row>
    <row r="18" spans="2:5">
      <c r="B18" s="586">
        <v>1.1000000000000001</v>
      </c>
      <c r="C18" s="591">
        <v>45015</v>
      </c>
      <c r="D18" s="586" t="s">
        <v>422</v>
      </c>
      <c r="E18" s="586" t="s">
        <v>424</v>
      </c>
    </row>
  </sheetData>
  <sheetProtection algorithmName="SHA-512" hashValue="zg2Zz2Ygqrlu5GGaiSTAy0v0OSbB9EFgDXfZ8lJnKbfv2PjC41CSRy9Bd45NkhHOGsOQvpcn7t//BmM42RAOFA==" saltValue="m7TKgB+CkSiBpqAW8pZYIQ==" spinCount="100000" sheet="1" objects="1" scenarios="1"/>
  <mergeCells count="9">
    <mergeCell ref="C11:E11"/>
    <mergeCell ref="C12:E12"/>
    <mergeCell ref="B15:E15"/>
    <mergeCell ref="B4:E4"/>
    <mergeCell ref="C5:E5"/>
    <mergeCell ref="C6:E6"/>
    <mergeCell ref="C7:E7"/>
    <mergeCell ref="C8:E8"/>
    <mergeCell ref="C9:E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92D050"/>
    <pageSetUpPr fitToPage="1"/>
  </sheetPr>
  <dimension ref="A8:AI72"/>
  <sheetViews>
    <sheetView topLeftCell="D1" workbookViewId="0">
      <selection activeCell="U43" sqref="U43"/>
    </sheetView>
  </sheetViews>
  <sheetFormatPr defaultRowHeight="14.35"/>
  <cols>
    <col min="1" max="1" width="43.5859375" customWidth="1"/>
    <col min="2" max="2" width="10.1171875" customWidth="1"/>
    <col min="3" max="3" width="11.5859375" customWidth="1"/>
    <col min="4" max="4" width="12.5859375" customWidth="1"/>
    <col min="5" max="5" width="9.1171875" customWidth="1"/>
    <col min="6" max="8" width="7.41015625" customWidth="1"/>
    <col min="9" max="9" width="10" customWidth="1"/>
    <col min="10" max="10" width="8.1171875" customWidth="1"/>
    <col min="11" max="35" width="7.41015625" customWidth="1"/>
  </cols>
  <sheetData>
    <row r="8" spans="1:35">
      <c r="A8" s="38"/>
      <c r="B8" s="18" t="s">
        <v>116</v>
      </c>
      <c r="C8" s="18" t="s">
        <v>118</v>
      </c>
      <c r="D8" s="18" t="s">
        <v>115</v>
      </c>
      <c r="E8" s="18" t="s">
        <v>4</v>
      </c>
      <c r="F8" s="19">
        <f>'Pre-conditions'!B4</f>
        <v>2015</v>
      </c>
      <c r="G8" s="19">
        <f>F8+1</f>
        <v>2016</v>
      </c>
      <c r="H8" s="19">
        <f t="shared" ref="H8:W10" si="0">G8+1</f>
        <v>2017</v>
      </c>
      <c r="I8" s="19">
        <f t="shared" si="0"/>
        <v>2018</v>
      </c>
      <c r="J8" s="19">
        <f t="shared" si="0"/>
        <v>2019</v>
      </c>
      <c r="K8" s="19">
        <f t="shared" si="0"/>
        <v>2020</v>
      </c>
      <c r="L8" s="19">
        <f t="shared" si="0"/>
        <v>2021</v>
      </c>
      <c r="M8" s="19">
        <f t="shared" si="0"/>
        <v>2022</v>
      </c>
      <c r="N8" s="19">
        <f t="shared" si="0"/>
        <v>2023</v>
      </c>
      <c r="O8" s="19">
        <f t="shared" si="0"/>
        <v>2024</v>
      </c>
      <c r="P8" s="19">
        <f t="shared" si="0"/>
        <v>2025</v>
      </c>
      <c r="Q8" s="19">
        <f t="shared" si="0"/>
        <v>2026</v>
      </c>
      <c r="R8" s="19">
        <f t="shared" si="0"/>
        <v>2027</v>
      </c>
      <c r="S8" s="19">
        <f t="shared" si="0"/>
        <v>2028</v>
      </c>
      <c r="T8" s="19">
        <f t="shared" si="0"/>
        <v>2029</v>
      </c>
      <c r="U8" s="19">
        <f t="shared" si="0"/>
        <v>2030</v>
      </c>
      <c r="V8" s="19">
        <f t="shared" si="0"/>
        <v>2031</v>
      </c>
      <c r="W8" s="19">
        <f t="shared" si="0"/>
        <v>2032</v>
      </c>
      <c r="X8" s="19">
        <f t="shared" ref="X8:AI10" si="1">W8+1</f>
        <v>2033</v>
      </c>
      <c r="Y8" s="19">
        <f t="shared" si="1"/>
        <v>2034</v>
      </c>
      <c r="Z8" s="19">
        <f t="shared" si="1"/>
        <v>2035</v>
      </c>
      <c r="AA8" s="19">
        <f t="shared" si="1"/>
        <v>2036</v>
      </c>
      <c r="AB8" s="19">
        <f t="shared" si="1"/>
        <v>2037</v>
      </c>
      <c r="AC8" s="19">
        <f t="shared" si="1"/>
        <v>2038</v>
      </c>
      <c r="AD8" s="19">
        <f t="shared" si="1"/>
        <v>2039</v>
      </c>
      <c r="AE8" s="19">
        <f t="shared" si="1"/>
        <v>2040</v>
      </c>
      <c r="AF8" s="19">
        <f t="shared" si="1"/>
        <v>2041</v>
      </c>
      <c r="AG8" s="19">
        <f t="shared" si="1"/>
        <v>2042</v>
      </c>
      <c r="AH8" s="19">
        <f t="shared" si="1"/>
        <v>2043</v>
      </c>
      <c r="AI8" s="20">
        <f t="shared" si="1"/>
        <v>2044</v>
      </c>
    </row>
    <row r="9" spans="1:35">
      <c r="A9" s="57"/>
      <c r="B9" s="51"/>
      <c r="C9" s="51" t="s">
        <v>119</v>
      </c>
      <c r="D9" s="51" t="s">
        <v>119</v>
      </c>
      <c r="E9" s="51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9"/>
    </row>
    <row r="10" spans="1:35">
      <c r="A10" s="39"/>
      <c r="B10" s="40"/>
      <c r="C10" s="40">
        <f>'Pre-conditions'!B10</f>
        <v>25</v>
      </c>
      <c r="D10" s="45">
        <v>30</v>
      </c>
      <c r="E10" s="7"/>
      <c r="F10" s="4">
        <v>1</v>
      </c>
      <c r="G10" s="4">
        <f>F10+1</f>
        <v>2</v>
      </c>
      <c r="H10" s="4">
        <f t="shared" si="0"/>
        <v>3</v>
      </c>
      <c r="I10" s="4">
        <f t="shared" si="0"/>
        <v>4</v>
      </c>
      <c r="J10" s="4">
        <f t="shared" si="0"/>
        <v>5</v>
      </c>
      <c r="K10" s="4">
        <f t="shared" si="0"/>
        <v>6</v>
      </c>
      <c r="L10" s="4">
        <f t="shared" si="0"/>
        <v>7</v>
      </c>
      <c r="M10" s="4">
        <f t="shared" si="0"/>
        <v>8</v>
      </c>
      <c r="N10" s="4">
        <f t="shared" si="0"/>
        <v>9</v>
      </c>
      <c r="O10" s="4">
        <f t="shared" si="0"/>
        <v>10</v>
      </c>
      <c r="P10" s="4">
        <f t="shared" si="0"/>
        <v>11</v>
      </c>
      <c r="Q10" s="4">
        <f t="shared" si="0"/>
        <v>12</v>
      </c>
      <c r="R10" s="4">
        <f t="shared" si="0"/>
        <v>13</v>
      </c>
      <c r="S10" s="4">
        <f t="shared" si="0"/>
        <v>14</v>
      </c>
      <c r="T10" s="4">
        <f t="shared" si="0"/>
        <v>15</v>
      </c>
      <c r="U10" s="4">
        <f t="shared" si="0"/>
        <v>16</v>
      </c>
      <c r="V10" s="4">
        <f t="shared" si="0"/>
        <v>17</v>
      </c>
      <c r="W10" s="4">
        <f t="shared" si="0"/>
        <v>18</v>
      </c>
      <c r="X10" s="4">
        <f t="shared" si="1"/>
        <v>19</v>
      </c>
      <c r="Y10" s="4">
        <f t="shared" si="1"/>
        <v>20</v>
      </c>
      <c r="Z10" s="4">
        <f t="shared" si="1"/>
        <v>21</v>
      </c>
      <c r="AA10" s="4">
        <f t="shared" si="1"/>
        <v>22</v>
      </c>
      <c r="AB10" s="4">
        <f t="shared" si="1"/>
        <v>23</v>
      </c>
      <c r="AC10" s="4">
        <f t="shared" si="1"/>
        <v>24</v>
      </c>
      <c r="AD10" s="4">
        <f t="shared" si="1"/>
        <v>25</v>
      </c>
      <c r="AE10" s="4">
        <f t="shared" si="1"/>
        <v>26</v>
      </c>
      <c r="AF10" s="4">
        <f t="shared" si="1"/>
        <v>27</v>
      </c>
      <c r="AG10" s="4">
        <f t="shared" si="1"/>
        <v>28</v>
      </c>
      <c r="AH10" s="4">
        <f t="shared" si="1"/>
        <v>29</v>
      </c>
      <c r="AI10" s="5">
        <f t="shared" si="1"/>
        <v>30</v>
      </c>
    </row>
    <row r="11" spans="1:35">
      <c r="A11" s="26" t="s">
        <v>102</v>
      </c>
      <c r="B11" s="41"/>
      <c r="C11" s="60"/>
      <c r="D11" s="60"/>
      <c r="E11" s="6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>
      <c r="A12" s="12" t="str">
        <f>'Pre-conditions'!A17</f>
        <v>Electricity price according to PPA</v>
      </c>
      <c r="B12" s="42" t="s">
        <v>67</v>
      </c>
      <c r="C12" s="61"/>
      <c r="D12" s="61"/>
      <c r="E12" s="61"/>
      <c r="F12" s="3">
        <f>'Pre-conditions'!F17</f>
        <v>0.12</v>
      </c>
      <c r="G12" s="3">
        <f>'Pre-conditions'!G17</f>
        <v>0.12</v>
      </c>
      <c r="H12" s="3">
        <f>'Pre-conditions'!H17</f>
        <v>0.12</v>
      </c>
      <c r="I12" s="3">
        <f>'Pre-conditions'!I17</f>
        <v>0.12</v>
      </c>
      <c r="J12" s="3">
        <f>'Pre-conditions'!J17</f>
        <v>0.12</v>
      </c>
      <c r="K12" s="3">
        <f>'Pre-conditions'!K17</f>
        <v>0.12</v>
      </c>
      <c r="L12" s="3">
        <f>'Pre-conditions'!L17</f>
        <v>0.12</v>
      </c>
      <c r="M12" s="3">
        <f>'Pre-conditions'!M17</f>
        <v>0.12</v>
      </c>
      <c r="N12" s="3">
        <f>'Pre-conditions'!N17</f>
        <v>0.12</v>
      </c>
      <c r="O12" s="3">
        <f>'Pre-conditions'!O17</f>
        <v>0.12</v>
      </c>
      <c r="P12" s="3">
        <f>'Pre-conditions'!P17</f>
        <v>6.2E-2</v>
      </c>
      <c r="Q12" s="3">
        <f>'Pre-conditions'!Q17</f>
        <v>6.2E-2</v>
      </c>
      <c r="R12" s="3">
        <f>'Pre-conditions'!R17</f>
        <v>6.2E-2</v>
      </c>
      <c r="S12" s="3">
        <f>'Pre-conditions'!S17</f>
        <v>6.2E-2</v>
      </c>
      <c r="T12" s="3">
        <f>'Pre-conditions'!T17</f>
        <v>6.2E-2</v>
      </c>
      <c r="U12" s="3">
        <f>'Pre-conditions'!U17</f>
        <v>6.2E-2</v>
      </c>
      <c r="V12" s="3">
        <f>'Pre-conditions'!V17</f>
        <v>6.2E-2</v>
      </c>
      <c r="W12" s="3">
        <f>'Pre-conditions'!W17</f>
        <v>6.2E-2</v>
      </c>
      <c r="X12" s="3">
        <f>'Pre-conditions'!X17</f>
        <v>6.2E-2</v>
      </c>
      <c r="Y12" s="3">
        <f>'Pre-conditions'!Y17</f>
        <v>6.2E-2</v>
      </c>
      <c r="Z12" s="3">
        <f>'Pre-conditions'!Z17</f>
        <v>6.2E-2</v>
      </c>
      <c r="AA12" s="3">
        <f>'Pre-conditions'!AA17</f>
        <v>6.2E-2</v>
      </c>
      <c r="AB12" s="3">
        <f>'Pre-conditions'!AB17</f>
        <v>6.2E-2</v>
      </c>
      <c r="AC12" s="3">
        <f>'Pre-conditions'!AC17</f>
        <v>6.2E-2</v>
      </c>
      <c r="AD12" s="3">
        <f>'Pre-conditions'!AD17</f>
        <v>6.2E-2</v>
      </c>
      <c r="AE12" s="3">
        <f>'Pre-conditions'!AE17</f>
        <v>6.2E-2</v>
      </c>
      <c r="AF12" s="3">
        <f>'Pre-conditions'!AF17</f>
        <v>6.2E-2</v>
      </c>
      <c r="AG12" s="3">
        <f>'Pre-conditions'!AG17</f>
        <v>6.2E-2</v>
      </c>
      <c r="AH12" s="3">
        <f>'Pre-conditions'!AH17</f>
        <v>6.2E-2</v>
      </c>
      <c r="AI12" s="6">
        <f>'Pre-conditions'!AI17</f>
        <v>6.2E-2</v>
      </c>
    </row>
    <row r="13" spans="1:35">
      <c r="A13" s="12" t="str">
        <f>'Pre-conditions'!A22</f>
        <v>Emission credits</v>
      </c>
      <c r="B13" s="42" t="s">
        <v>67</v>
      </c>
      <c r="C13" s="61"/>
      <c r="D13" s="61"/>
      <c r="E13" s="61"/>
      <c r="F13" s="3">
        <f>'Pre-conditions'!F22</f>
        <v>0</v>
      </c>
      <c r="G13" s="3">
        <f>'Pre-conditions'!G22</f>
        <v>0</v>
      </c>
      <c r="H13" s="3">
        <f>'Pre-conditions'!H22</f>
        <v>0</v>
      </c>
      <c r="I13" s="3">
        <f>'Pre-conditions'!I22</f>
        <v>0</v>
      </c>
      <c r="J13" s="3">
        <f>'Pre-conditions'!J22</f>
        <v>0</v>
      </c>
      <c r="K13" s="3">
        <f>'Pre-conditions'!K22</f>
        <v>0</v>
      </c>
      <c r="L13" s="3">
        <f>'Pre-conditions'!L22</f>
        <v>0</v>
      </c>
      <c r="M13" s="3">
        <f>'Pre-conditions'!M22</f>
        <v>0</v>
      </c>
      <c r="N13" s="3">
        <f>'Pre-conditions'!N22</f>
        <v>0</v>
      </c>
      <c r="O13" s="3">
        <f>'Pre-conditions'!O22</f>
        <v>0</v>
      </c>
      <c r="P13" s="3">
        <f>'Pre-conditions'!P22</f>
        <v>0</v>
      </c>
      <c r="Q13" s="3">
        <f>'Pre-conditions'!Q22</f>
        <v>0</v>
      </c>
      <c r="R13" s="3">
        <f>'Pre-conditions'!R22</f>
        <v>0</v>
      </c>
      <c r="S13" s="3">
        <f>'Pre-conditions'!S22</f>
        <v>0</v>
      </c>
      <c r="T13" s="3">
        <f>'Pre-conditions'!T22</f>
        <v>0</v>
      </c>
      <c r="U13" s="3">
        <f>'Pre-conditions'!U22</f>
        <v>0</v>
      </c>
      <c r="V13" s="3">
        <f>'Pre-conditions'!V22</f>
        <v>0</v>
      </c>
      <c r="W13" s="3">
        <f>'Pre-conditions'!W22</f>
        <v>0</v>
      </c>
      <c r="X13" s="3">
        <f>'Pre-conditions'!X22</f>
        <v>0</v>
      </c>
      <c r="Y13" s="3">
        <f>'Pre-conditions'!Y22</f>
        <v>0</v>
      </c>
      <c r="Z13" s="3">
        <f>'Pre-conditions'!Z22</f>
        <v>0</v>
      </c>
      <c r="AA13" s="3">
        <f>'Pre-conditions'!AA22</f>
        <v>0</v>
      </c>
      <c r="AB13" s="3">
        <f>'Pre-conditions'!AB22</f>
        <v>0</v>
      </c>
      <c r="AC13" s="3">
        <f>'Pre-conditions'!AC22</f>
        <v>0</v>
      </c>
      <c r="AD13" s="3">
        <f>'Pre-conditions'!AD22</f>
        <v>0</v>
      </c>
      <c r="AE13" s="3">
        <f>'Pre-conditions'!AE22</f>
        <v>0</v>
      </c>
      <c r="AF13" s="3">
        <f>'Pre-conditions'!AF22</f>
        <v>0</v>
      </c>
      <c r="AG13" s="3">
        <f>'Pre-conditions'!AG22</f>
        <v>0</v>
      </c>
      <c r="AH13" s="3">
        <f>'Pre-conditions'!AH22</f>
        <v>0</v>
      </c>
      <c r="AI13" s="6">
        <f>'Pre-conditions'!AI22</f>
        <v>0</v>
      </c>
    </row>
    <row r="14" spans="1:35">
      <c r="A14" s="12" t="str">
        <f>'Pre-conditions'!A24</f>
        <v xml:space="preserve">Compensation for off-take </v>
      </c>
      <c r="B14" s="42" t="s">
        <v>67</v>
      </c>
      <c r="C14" s="61"/>
      <c r="D14" s="61"/>
      <c r="E14" s="61"/>
      <c r="F14" s="3">
        <f>'Pre-conditions'!F24</f>
        <v>0.12</v>
      </c>
      <c r="G14" s="3">
        <f>'Pre-conditions'!G24</f>
        <v>0.12</v>
      </c>
      <c r="H14" s="3">
        <f>'Pre-conditions'!H24</f>
        <v>0.12</v>
      </c>
      <c r="I14" s="3">
        <f>'Pre-conditions'!I24</f>
        <v>0.12</v>
      </c>
      <c r="J14" s="3">
        <f>'Pre-conditions'!J24</f>
        <v>0.12</v>
      </c>
      <c r="K14" s="3">
        <f>'Pre-conditions'!K24</f>
        <v>0.12</v>
      </c>
      <c r="L14" s="3">
        <f>'Pre-conditions'!L24</f>
        <v>0.12</v>
      </c>
      <c r="M14" s="3">
        <f>'Pre-conditions'!M24</f>
        <v>0.12</v>
      </c>
      <c r="N14" s="3">
        <f>'Pre-conditions'!N24</f>
        <v>0.12</v>
      </c>
      <c r="O14" s="3">
        <f>'Pre-conditions'!O24</f>
        <v>0.12</v>
      </c>
      <c r="P14" s="3">
        <f>'Pre-conditions'!P24</f>
        <v>6.2E-2</v>
      </c>
      <c r="Q14" s="3">
        <f>'Pre-conditions'!Q24</f>
        <v>6.2E-2</v>
      </c>
      <c r="R14" s="3">
        <f>'Pre-conditions'!R24</f>
        <v>6.2E-2</v>
      </c>
      <c r="S14" s="3">
        <f>'Pre-conditions'!S24</f>
        <v>6.2E-2</v>
      </c>
      <c r="T14" s="3">
        <f>'Pre-conditions'!T24</f>
        <v>6.2E-2</v>
      </c>
      <c r="U14" s="3">
        <f>'Pre-conditions'!U24</f>
        <v>6.2E-2</v>
      </c>
      <c r="V14" s="3">
        <f>'Pre-conditions'!V24</f>
        <v>6.2E-2</v>
      </c>
      <c r="W14" s="3">
        <f>'Pre-conditions'!W24</f>
        <v>6.2E-2</v>
      </c>
      <c r="X14" s="3">
        <f>'Pre-conditions'!X24</f>
        <v>6.2E-2</v>
      </c>
      <c r="Y14" s="3">
        <f>'Pre-conditions'!Y24</f>
        <v>6.2E-2</v>
      </c>
      <c r="Z14" s="3">
        <f>'Pre-conditions'!Z24</f>
        <v>6.2E-2</v>
      </c>
      <c r="AA14" s="3">
        <f>'Pre-conditions'!AA24</f>
        <v>6.2E-2</v>
      </c>
      <c r="AB14" s="3">
        <f>'Pre-conditions'!AB24</f>
        <v>6.2E-2</v>
      </c>
      <c r="AC14" s="3">
        <f>'Pre-conditions'!AC24</f>
        <v>6.2E-2</v>
      </c>
      <c r="AD14" s="3">
        <f>'Pre-conditions'!AD24</f>
        <v>6.2E-2</v>
      </c>
      <c r="AE14" s="3">
        <f>'Pre-conditions'!AE24</f>
        <v>6.2E-2</v>
      </c>
      <c r="AF14" s="3">
        <f>'Pre-conditions'!AF24</f>
        <v>6.2E-2</v>
      </c>
      <c r="AG14" s="3">
        <f>'Pre-conditions'!AG24</f>
        <v>6.2E-2</v>
      </c>
      <c r="AH14" s="3">
        <f>'Pre-conditions'!AH24</f>
        <v>6.2E-2</v>
      </c>
      <c r="AI14" s="6">
        <f>'Pre-conditions'!AI24</f>
        <v>6.2E-2</v>
      </c>
    </row>
    <row r="15" spans="1:35">
      <c r="A15" s="12" t="str">
        <f>'Pre-conditions'!A25</f>
        <v xml:space="preserve">GETFiT </v>
      </c>
      <c r="B15" s="42" t="s">
        <v>67</v>
      </c>
      <c r="C15" s="61"/>
      <c r="D15" s="61"/>
      <c r="E15" s="61"/>
      <c r="F15" s="3">
        <f>'Pre-conditions'!F25</f>
        <v>0.02</v>
      </c>
      <c r="G15" s="3">
        <f>'Pre-conditions'!G25</f>
        <v>0.02</v>
      </c>
      <c r="H15" s="3">
        <f>'Pre-conditions'!H25</f>
        <v>0.02</v>
      </c>
      <c r="I15" s="3">
        <f>'Pre-conditions'!I25</f>
        <v>0.02</v>
      </c>
      <c r="J15" s="3">
        <f>'Pre-conditions'!J25</f>
        <v>0.02</v>
      </c>
      <c r="K15" s="3">
        <f>'Pre-conditions'!K25</f>
        <v>0.02</v>
      </c>
      <c r="L15" s="3">
        <f>'Pre-conditions'!L25</f>
        <v>0.02</v>
      </c>
      <c r="M15" s="3">
        <f>'Pre-conditions'!M25</f>
        <v>0.02</v>
      </c>
      <c r="N15" s="3">
        <f>'Pre-conditions'!N25</f>
        <v>0.02</v>
      </c>
      <c r="O15" s="3">
        <f>'Pre-conditions'!O25</f>
        <v>0.02</v>
      </c>
      <c r="P15" s="3">
        <f>'Pre-conditions'!P25</f>
        <v>0.02</v>
      </c>
      <c r="Q15" s="3">
        <f>'Pre-conditions'!Q25</f>
        <v>0.02</v>
      </c>
      <c r="R15" s="3">
        <f>'Pre-conditions'!R25</f>
        <v>0.02</v>
      </c>
      <c r="S15" s="3">
        <f>'Pre-conditions'!S25</f>
        <v>0.02</v>
      </c>
      <c r="T15" s="3">
        <f>'Pre-conditions'!T25</f>
        <v>0.02</v>
      </c>
      <c r="U15" s="3">
        <f>'Pre-conditions'!U25</f>
        <v>0.02</v>
      </c>
      <c r="V15" s="3">
        <f>'Pre-conditions'!V25</f>
        <v>0.02</v>
      </c>
      <c r="W15" s="3">
        <f>'Pre-conditions'!W25</f>
        <v>0.02</v>
      </c>
      <c r="X15" s="3">
        <f>'Pre-conditions'!X25</f>
        <v>0.02</v>
      </c>
      <c r="Y15" s="3">
        <f>'Pre-conditions'!Y25</f>
        <v>0.02</v>
      </c>
      <c r="Z15" s="3">
        <f>'Pre-conditions'!Z25</f>
        <v>0.02</v>
      </c>
      <c r="AA15" s="3">
        <f>'Pre-conditions'!AA25</f>
        <v>0.02</v>
      </c>
      <c r="AB15" s="3">
        <f>'Pre-conditions'!AB25</f>
        <v>0.02</v>
      </c>
      <c r="AC15" s="3">
        <f>'Pre-conditions'!AC25</f>
        <v>0.02</v>
      </c>
      <c r="AD15" s="3">
        <f>'Pre-conditions'!AD25</f>
        <v>0.02</v>
      </c>
      <c r="AE15" s="3">
        <f>'Pre-conditions'!AE25</f>
        <v>0.02</v>
      </c>
      <c r="AF15" s="3">
        <f>'Pre-conditions'!AF25</f>
        <v>0.02</v>
      </c>
      <c r="AG15" s="3">
        <f>'Pre-conditions'!AG25</f>
        <v>0.02</v>
      </c>
      <c r="AH15" s="3">
        <f>'Pre-conditions'!AH25</f>
        <v>0.02</v>
      </c>
      <c r="AI15" s="6">
        <f>'Pre-conditions'!AI25</f>
        <v>0.02</v>
      </c>
    </row>
    <row r="16" spans="1:35">
      <c r="A16" s="13" t="str">
        <f>'Pre-conditions'!A26</f>
        <v>Subsidies</v>
      </c>
      <c r="B16" s="43" t="s">
        <v>67</v>
      </c>
      <c r="C16" s="62"/>
      <c r="D16" s="62"/>
      <c r="E16" s="62"/>
      <c r="F16" s="14">
        <f>'Pre-conditions'!F26</f>
        <v>0</v>
      </c>
      <c r="G16" s="14">
        <f>'Pre-conditions'!G26</f>
        <v>0</v>
      </c>
      <c r="H16" s="14">
        <f>'Pre-conditions'!H26</f>
        <v>0</v>
      </c>
      <c r="I16" s="14">
        <f>'Pre-conditions'!I26</f>
        <v>0</v>
      </c>
      <c r="J16" s="14">
        <f>'Pre-conditions'!J26</f>
        <v>0</v>
      </c>
      <c r="K16" s="14">
        <f>'Pre-conditions'!K26</f>
        <v>0</v>
      </c>
      <c r="L16" s="14">
        <f>'Pre-conditions'!L26</f>
        <v>0</v>
      </c>
      <c r="M16" s="14">
        <f>'Pre-conditions'!M26</f>
        <v>0</v>
      </c>
      <c r="N16" s="14">
        <f>'Pre-conditions'!N26</f>
        <v>0</v>
      </c>
      <c r="O16" s="14">
        <f>'Pre-conditions'!O26</f>
        <v>0</v>
      </c>
      <c r="P16" s="14">
        <f>'Pre-conditions'!P26</f>
        <v>0</v>
      </c>
      <c r="Q16" s="14">
        <f>'Pre-conditions'!Q26</f>
        <v>0</v>
      </c>
      <c r="R16" s="14">
        <f>'Pre-conditions'!R26</f>
        <v>0</v>
      </c>
      <c r="S16" s="14">
        <f>'Pre-conditions'!S26</f>
        <v>0</v>
      </c>
      <c r="T16" s="14">
        <f>'Pre-conditions'!T26</f>
        <v>0</v>
      </c>
      <c r="U16" s="14">
        <f>'Pre-conditions'!U26</f>
        <v>0</v>
      </c>
      <c r="V16" s="14">
        <f>'Pre-conditions'!V26</f>
        <v>0</v>
      </c>
      <c r="W16" s="14">
        <f>'Pre-conditions'!W26</f>
        <v>0</v>
      </c>
      <c r="X16" s="14">
        <f>'Pre-conditions'!X26</f>
        <v>0</v>
      </c>
      <c r="Y16" s="14">
        <f>'Pre-conditions'!Y26</f>
        <v>0</v>
      </c>
      <c r="Z16" s="14">
        <f>'Pre-conditions'!Z26</f>
        <v>0</v>
      </c>
      <c r="AA16" s="14">
        <f>'Pre-conditions'!AA26</f>
        <v>0</v>
      </c>
      <c r="AB16" s="14">
        <f>'Pre-conditions'!AB26</f>
        <v>0</v>
      </c>
      <c r="AC16" s="14">
        <f>'Pre-conditions'!AC26</f>
        <v>0</v>
      </c>
      <c r="AD16" s="14">
        <f>'Pre-conditions'!AD26</f>
        <v>0</v>
      </c>
      <c r="AE16" s="14">
        <f>'Pre-conditions'!AE26</f>
        <v>0</v>
      </c>
      <c r="AF16" s="14">
        <f>'Pre-conditions'!AF26</f>
        <v>0</v>
      </c>
      <c r="AG16" s="14">
        <f>'Pre-conditions'!AG26</f>
        <v>0</v>
      </c>
      <c r="AH16" s="14">
        <f>'Pre-conditions'!AH26</f>
        <v>0</v>
      </c>
      <c r="AI16" s="17">
        <f>'Pre-conditions'!AI26</f>
        <v>0</v>
      </c>
    </row>
    <row r="18" spans="1:35">
      <c r="A18" s="26" t="s">
        <v>103</v>
      </c>
      <c r="B18" s="41"/>
      <c r="C18" s="60"/>
      <c r="D18" s="60"/>
      <c r="E18" s="6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>
      <c r="A19" s="12" t="str">
        <f>'Technical details'!A17</f>
        <v>Potential Annual energy production - (Max.)</v>
      </c>
      <c r="B19" s="42" t="s">
        <v>68</v>
      </c>
      <c r="C19" s="61"/>
      <c r="D19" s="61"/>
      <c r="E19" s="61"/>
      <c r="F19" s="27">
        <f>IF('Pre-conditions'!$B$5-Income!F$8&gt;0,0,'Technical details'!$C17+'Technical details'!$D17+'Technical details'!$E17+'Technical details'!F17+'Technical details'!G17+'Technical details'!H17)</f>
        <v>0</v>
      </c>
      <c r="G19" s="27">
        <f>IF('Pre-conditions'!$B$5-Income!G$8&gt;0,0,'Technical details'!$C17+'Technical details'!$D17+'Technical details'!$E17+'Technical details'!G17+'Technical details'!H17+'Technical details'!I17)</f>
        <v>0</v>
      </c>
      <c r="H19" s="27">
        <f>IF('Pre-conditions'!$B$5-Income!H$8&gt;0,0,'Technical details'!$C17+'Technical details'!$D17+'Technical details'!$E17+'Technical details'!H17+'Technical details'!I17+'Technical details'!J17)</f>
        <v>0</v>
      </c>
      <c r="I19" s="27">
        <f>IF('Pre-conditions'!$B$5-Income!I$8&gt;0,0,'Technical details'!$C17+'Technical details'!$D17+'Technical details'!$E17+'Technical details'!I17+'Technical details'!J17+'Technical details'!K17)</f>
        <v>74460</v>
      </c>
      <c r="J19" s="27">
        <f>IF('Pre-conditions'!$B$5-Income!J$8&gt;0,0,'Technical details'!$C17+'Technical details'!$D17+'Technical details'!$E17+'Technical details'!J17+'Technical details'!K17+'Technical details'!L17)</f>
        <v>74460</v>
      </c>
      <c r="K19" s="27">
        <f>IF('Pre-conditions'!$B$5-Income!K$8&gt;0,0,'Technical details'!$C17+'Technical details'!$D17+'Technical details'!$E17+'Technical details'!K17+'Technical details'!L17+'Technical details'!M17)</f>
        <v>74460</v>
      </c>
      <c r="L19" s="27">
        <f>IF('Pre-conditions'!$B$5-Income!L$8&gt;0,0,'Technical details'!$C17+'Technical details'!$D17+'Technical details'!$E17+'Technical details'!L17+'Technical details'!M17+'Technical details'!N17)</f>
        <v>74460</v>
      </c>
      <c r="M19" s="27">
        <f>IF('Pre-conditions'!$B$5-Income!M$8&gt;0,0,'Technical details'!$C17+'Technical details'!$D17+'Technical details'!$E17+'Technical details'!M17+'Technical details'!N17+'Technical details'!O17)</f>
        <v>74460</v>
      </c>
      <c r="N19" s="27">
        <f>IF('Pre-conditions'!$B$5-Income!N$8&gt;0,0,'Technical details'!$C17+'Technical details'!$D17+'Technical details'!$E17+'Technical details'!N17+'Technical details'!O17+'Technical details'!P17)</f>
        <v>74460</v>
      </c>
      <c r="O19" s="27">
        <f>IF('Pre-conditions'!$B$5-Income!O$8&gt;0,0,'Technical details'!$C17+'Technical details'!$D17+'Technical details'!$E17+'Technical details'!O17+'Technical details'!P17+'Technical details'!Q17)</f>
        <v>74460</v>
      </c>
      <c r="P19" s="27">
        <f>IF('Pre-conditions'!$B$5-Income!P$8&gt;0,0,'Technical details'!$C17+'Technical details'!$D17+'Technical details'!$E17+'Technical details'!P17+'Technical details'!Q17+'Technical details'!R17)</f>
        <v>74460</v>
      </c>
      <c r="Q19" s="27">
        <f>IF('Pre-conditions'!$B$5-Income!Q$8&gt;0,0,'Technical details'!$C17+'Technical details'!$D17+'Technical details'!$E17+'Technical details'!Q17+'Technical details'!R17+'Technical details'!S17)</f>
        <v>74460</v>
      </c>
      <c r="R19" s="27">
        <f>IF('Pre-conditions'!$B$5-Income!R$8&gt;0,0,'Technical details'!$C17+'Technical details'!$D17+'Technical details'!$E17+'Technical details'!R17+'Technical details'!S17+'Technical details'!T17)</f>
        <v>74460</v>
      </c>
      <c r="S19" s="27">
        <f>IF('Pre-conditions'!$B$5-Income!S$8&gt;0,0,'Technical details'!$C17+'Technical details'!$D17+'Technical details'!$E17+'Technical details'!S17+'Technical details'!T17+'Technical details'!U17)</f>
        <v>74460</v>
      </c>
      <c r="T19" s="27">
        <f>IF('Pre-conditions'!$B$5-Income!T$8&gt;0,0,'Technical details'!$C17+'Technical details'!$D17+'Technical details'!$E17+'Technical details'!T17+'Technical details'!U17+'Technical details'!V17)</f>
        <v>74460</v>
      </c>
      <c r="U19" s="27">
        <f>IF('Pre-conditions'!$B$5-Income!U$8&gt;0,0,'Technical details'!$C17+'Technical details'!$D17+'Technical details'!$E17+'Technical details'!U17+'Technical details'!V17+'Technical details'!W17)</f>
        <v>74460</v>
      </c>
      <c r="V19" s="27">
        <f>IF('Pre-conditions'!$B$5-Income!V$8&gt;0,0,'Technical details'!$C17+'Technical details'!$D17+'Technical details'!$E17+'Technical details'!V17+'Technical details'!W17+'Technical details'!X17)</f>
        <v>74460</v>
      </c>
      <c r="W19" s="27">
        <f>IF('Pre-conditions'!$B$5-Income!W$8&gt;0,0,'Technical details'!$C17+'Technical details'!$D17+'Technical details'!$E17+'Technical details'!W17+'Technical details'!X17+'Technical details'!Y17)</f>
        <v>74460</v>
      </c>
      <c r="X19" s="27">
        <f>IF('Pre-conditions'!$B$5-Income!X$8&gt;0,0,'Technical details'!$C17+'Technical details'!$D17+'Technical details'!$E17+'Technical details'!X17+'Technical details'!Y17+'Technical details'!Z17)</f>
        <v>74460</v>
      </c>
      <c r="Y19" s="27">
        <f>IF('Pre-conditions'!$B$5-Income!Y$8&gt;0,0,'Technical details'!$C17+'Technical details'!$D17+'Technical details'!$E17+'Technical details'!Y17+'Technical details'!Z17+'Technical details'!AA17)</f>
        <v>74460</v>
      </c>
      <c r="Z19" s="27">
        <f>IF('Pre-conditions'!$B$5-Income!Z$8&gt;0,0,'Technical details'!$C17+'Technical details'!$D17+'Technical details'!$E17+'Technical details'!Z17+'Technical details'!AA17+'Technical details'!AB17)</f>
        <v>74460</v>
      </c>
      <c r="AA19" s="27">
        <f>IF('Pre-conditions'!$B$5-Income!AA$8&gt;0,0,'Technical details'!$C17+'Technical details'!$D17+'Technical details'!$E17+'Technical details'!AA17+'Technical details'!AB17+'Technical details'!AC17)</f>
        <v>74460</v>
      </c>
      <c r="AB19" s="27">
        <f>IF('Pre-conditions'!$B$5-Income!AB$8&gt;0,0,'Technical details'!$C17+'Technical details'!$D17+'Technical details'!$E17+'Technical details'!AB17+'Technical details'!AC17+'Technical details'!AD17)</f>
        <v>74460</v>
      </c>
      <c r="AC19" s="27">
        <f>IF('Pre-conditions'!$B$5-Income!AC$8&gt;0,0,'Technical details'!$C17+'Technical details'!$D17+'Technical details'!$E17+'Technical details'!AC17+'Technical details'!AD17+'Technical details'!AE17)</f>
        <v>74460</v>
      </c>
      <c r="AD19" s="27">
        <f>IF('Pre-conditions'!$B$5-Income!AD$8&gt;0,0,'Technical details'!$C17+'Technical details'!$D17+'Technical details'!$E17+'Technical details'!AD17+'Technical details'!AE17+'Technical details'!AF17)</f>
        <v>74460</v>
      </c>
      <c r="AE19" s="27">
        <f>IF('Pre-conditions'!$B$5-Income!AE$8&gt;0,0,'Technical details'!$C17+'Technical details'!$D17+'Technical details'!$E17+'Technical details'!AE17+'Technical details'!AF17+'Technical details'!AG17)</f>
        <v>74460</v>
      </c>
      <c r="AF19" s="27">
        <f>IF('Pre-conditions'!$B$5-Income!AF$8&gt;0,0,'Technical details'!$C17+'Technical details'!$D17+'Technical details'!$E17+'Technical details'!AF17+'Technical details'!AG17+'Technical details'!AH17)</f>
        <v>74460</v>
      </c>
      <c r="AG19" s="27">
        <f>IF('Pre-conditions'!$B$5-Income!AG$8&gt;0,0,'Technical details'!$C17+'Technical details'!$D17+'Technical details'!$E17+'Technical details'!AG17+'Technical details'!AH17+'Technical details'!AI17)</f>
        <v>74460</v>
      </c>
      <c r="AH19" s="27">
        <f>IF('Pre-conditions'!$B$5-Income!AH$8&gt;0,0,'Technical details'!$C17+'Technical details'!$D17+'Technical details'!$E17+'Technical details'!AH17+'Technical details'!AI17+'Technical details'!AJ17)</f>
        <v>74460</v>
      </c>
      <c r="AI19" s="27">
        <f>IF('Pre-conditions'!$B$5-Income!AI$8&gt;0,0,'Technical details'!$C17+'Technical details'!$D17+'Technical details'!$E17+'Technical details'!AI17+'Technical details'!AJ17+'Technical details'!AK17)</f>
        <v>74460</v>
      </c>
    </row>
    <row r="20" spans="1:35">
      <c r="A20" s="12" t="str">
        <f>'Technical details'!A18</f>
        <v>Potential Annual energy production - (Average)</v>
      </c>
      <c r="B20" s="42" t="s">
        <v>68</v>
      </c>
      <c r="C20" s="61"/>
      <c r="D20" s="61"/>
      <c r="E20" s="61"/>
      <c r="F20" s="27">
        <f>IF('Pre-conditions'!$B$5-Income!F$8&gt;0,0,'Technical details'!$C18+'Technical details'!$D18+'Technical details'!$E18+'Technical details'!F18+'Technical details'!G18+'Technical details'!H18)</f>
        <v>0</v>
      </c>
      <c r="G20" s="27">
        <f>IF('Pre-conditions'!$B$5-Income!G$8&gt;0,0,'Technical details'!$C18+'Technical details'!$D18+'Technical details'!$E18+'Technical details'!G18+'Technical details'!H18+'Technical details'!I18)</f>
        <v>0</v>
      </c>
      <c r="H20" s="27">
        <f>IF('Pre-conditions'!$B$5-Income!H$8&gt;0,0,'Technical details'!$C18+'Technical details'!$D18+'Technical details'!$E18+'Technical details'!H18+'Technical details'!I18+'Technical details'!J18)</f>
        <v>0</v>
      </c>
      <c r="I20" s="27">
        <f>IF('Pre-conditions'!$B$5-Income!I$8&gt;0,0,'Technical details'!$C18+'Technical details'!$D18+'Technical details'!$E18+'Technical details'!I18+'Technical details'!J18+'Technical details'!K18)</f>
        <v>37914.250000000007</v>
      </c>
      <c r="J20" s="27">
        <f>IF('Pre-conditions'!$B$5-Income!J$8&gt;0,0,'Technical details'!$C18+'Technical details'!$D18+'Technical details'!$E18+'Technical details'!J18+'Technical details'!K18+'Technical details'!L18)</f>
        <v>37914.250000000007</v>
      </c>
      <c r="K20" s="27">
        <f>IF('Pre-conditions'!$B$5-Income!K$8&gt;0,0,'Technical details'!$C18+'Technical details'!$D18+'Technical details'!$E18+'Technical details'!K18+'Technical details'!L18+'Technical details'!M18)</f>
        <v>37914.250000000007</v>
      </c>
      <c r="L20" s="27">
        <f>IF('Pre-conditions'!$B$5-Income!L$8&gt;0,0,'Technical details'!$C18+'Technical details'!$D18+'Technical details'!$E18+'Technical details'!L18+'Technical details'!M18+'Technical details'!N18)</f>
        <v>37914.250000000007</v>
      </c>
      <c r="M20" s="27">
        <f>IF('Pre-conditions'!$B$5-Income!M$8&gt;0,0,'Technical details'!$C18+'Technical details'!$D18+'Technical details'!$E18+'Technical details'!M18+'Technical details'!N18+'Technical details'!O18)</f>
        <v>37914.250000000007</v>
      </c>
      <c r="N20" s="27">
        <f>IF('Pre-conditions'!$B$5-Income!N$8&gt;0,0,'Technical details'!$C18+'Technical details'!$D18+'Technical details'!$E18+'Technical details'!N18+'Technical details'!O18+'Technical details'!P18)</f>
        <v>37914.250000000007</v>
      </c>
      <c r="O20" s="27">
        <f>IF('Pre-conditions'!$B$5-Income!O$8&gt;0,0,'Technical details'!$C18+'Technical details'!$D18+'Technical details'!$E18+'Technical details'!O18+'Technical details'!P18+'Technical details'!Q18)</f>
        <v>37914.250000000007</v>
      </c>
      <c r="P20" s="27">
        <f>IF('Pre-conditions'!$B$5-Income!P$8&gt;0,0,'Technical details'!$C18+'Technical details'!$D18+'Technical details'!$E18+'Technical details'!P18+'Technical details'!Q18+'Technical details'!R18)</f>
        <v>37914.250000000007</v>
      </c>
      <c r="Q20" s="27">
        <f>IF('Pre-conditions'!$B$5-Income!Q$8&gt;0,0,'Technical details'!$C18+'Technical details'!$D18+'Technical details'!$E18+'Technical details'!Q18+'Technical details'!R18+'Technical details'!S18)</f>
        <v>37914.250000000007</v>
      </c>
      <c r="R20" s="27">
        <f>IF('Pre-conditions'!$B$5-Income!R$8&gt;0,0,'Technical details'!$C18+'Technical details'!$D18+'Technical details'!$E18+'Technical details'!R18+'Technical details'!S18+'Technical details'!T18)</f>
        <v>37914.250000000007</v>
      </c>
      <c r="S20" s="27">
        <f>IF('Pre-conditions'!$B$5-Income!S$8&gt;0,0,'Technical details'!$C18+'Technical details'!$D18+'Technical details'!$E18+'Technical details'!S18+'Technical details'!T18+'Technical details'!U18)</f>
        <v>37914.250000000007</v>
      </c>
      <c r="T20" s="27">
        <f>IF('Pre-conditions'!$B$5-Income!T$8&gt;0,0,'Technical details'!$C18+'Technical details'!$D18+'Technical details'!$E18+'Technical details'!T18+'Technical details'!U18+'Technical details'!V18)</f>
        <v>37914.250000000007</v>
      </c>
      <c r="U20" s="27">
        <f>IF('Pre-conditions'!$B$5-Income!U$8&gt;0,0,'Technical details'!$C18+'Technical details'!$D18+'Technical details'!$E18+'Technical details'!U18+'Technical details'!V18+'Technical details'!W18)</f>
        <v>37914.250000000007</v>
      </c>
      <c r="V20" s="27">
        <f>IF('Pre-conditions'!$B$5-Income!V$8&gt;0,0,'Technical details'!$C18+'Technical details'!$D18+'Technical details'!$E18+'Technical details'!V18+'Technical details'!W18+'Technical details'!X18)</f>
        <v>37914.250000000007</v>
      </c>
      <c r="W20" s="27">
        <f>IF('Pre-conditions'!$B$5-Income!W$8&gt;0,0,'Technical details'!$C18+'Technical details'!$D18+'Technical details'!$E18+'Technical details'!W18+'Technical details'!X18+'Technical details'!Y18)</f>
        <v>37914.250000000007</v>
      </c>
      <c r="X20" s="27">
        <f>IF('Pre-conditions'!$B$5-Income!X$8&gt;0,0,'Technical details'!$C18+'Technical details'!$D18+'Technical details'!$E18+'Technical details'!X18+'Technical details'!Y18+'Technical details'!Z18)</f>
        <v>37914.250000000007</v>
      </c>
      <c r="Y20" s="27">
        <f>IF('Pre-conditions'!$B$5-Income!Y$8&gt;0,0,'Technical details'!$C18+'Technical details'!$D18+'Technical details'!$E18+'Technical details'!Y18+'Technical details'!Z18+'Technical details'!AA18)</f>
        <v>37914.250000000007</v>
      </c>
      <c r="Z20" s="27">
        <f>IF('Pre-conditions'!$B$5-Income!Z$8&gt;0,0,'Technical details'!$C18+'Technical details'!$D18+'Technical details'!$E18+'Technical details'!Z18+'Technical details'!AA18+'Technical details'!AB18)</f>
        <v>37914.250000000007</v>
      </c>
      <c r="AA20" s="27">
        <f>IF('Pre-conditions'!$B$5-Income!AA$8&gt;0,0,'Technical details'!$C18+'Technical details'!$D18+'Technical details'!$E18+'Technical details'!AA18+'Technical details'!AB18+'Technical details'!AC18)</f>
        <v>37914.250000000007</v>
      </c>
      <c r="AB20" s="27">
        <f>IF('Pre-conditions'!$B$5-Income!AB$8&gt;0,0,'Technical details'!$C18+'Technical details'!$D18+'Technical details'!$E18+'Technical details'!AB18+'Technical details'!AC18+'Technical details'!AD18)</f>
        <v>37914.250000000007</v>
      </c>
      <c r="AC20" s="27">
        <f>IF('Pre-conditions'!$B$5-Income!AC$8&gt;0,0,'Technical details'!$C18+'Technical details'!$D18+'Technical details'!$E18+'Technical details'!AC18+'Technical details'!AD18+'Technical details'!AE18)</f>
        <v>37914.250000000007</v>
      </c>
      <c r="AD20" s="27">
        <f>IF('Pre-conditions'!$B$5-Income!AD$8&gt;0,0,'Technical details'!$C18+'Technical details'!$D18+'Technical details'!$E18+'Technical details'!AD18+'Technical details'!AE18+'Technical details'!AF18)</f>
        <v>37914.250000000007</v>
      </c>
      <c r="AE20" s="27">
        <f>IF('Pre-conditions'!$B$5-Income!AE$8&gt;0,0,'Technical details'!$C18+'Technical details'!$D18+'Technical details'!$E18+'Technical details'!AE18+'Technical details'!AF18+'Technical details'!AG18)</f>
        <v>37914.250000000007</v>
      </c>
      <c r="AF20" s="27">
        <f>IF('Pre-conditions'!$B$5-Income!AF$8&gt;0,0,'Technical details'!$C18+'Technical details'!$D18+'Technical details'!$E18+'Technical details'!AF18+'Technical details'!AG18+'Technical details'!AH18)</f>
        <v>37914.250000000007</v>
      </c>
      <c r="AG20" s="27">
        <f>IF('Pre-conditions'!$B$5-Income!AG$8&gt;0,0,'Technical details'!$C18+'Technical details'!$D18+'Technical details'!$E18+'Technical details'!AG18+'Technical details'!AH18+'Technical details'!AI18)</f>
        <v>37914.250000000007</v>
      </c>
      <c r="AH20" s="27">
        <f>IF('Pre-conditions'!$B$5-Income!AH$8&gt;0,0,'Technical details'!$C18+'Technical details'!$D18+'Technical details'!$E18+'Technical details'!AH18+'Technical details'!AI18+'Technical details'!AJ18)</f>
        <v>37914.250000000007</v>
      </c>
      <c r="AI20" s="27">
        <f>IF('Pre-conditions'!$B$5-Income!AI$8&gt;0,0,'Technical details'!$C18+'Technical details'!$D18+'Technical details'!$E18+'Technical details'!AI18+'Technical details'!AJ18+'Technical details'!AK18)</f>
        <v>37914.250000000007</v>
      </c>
    </row>
    <row r="21" spans="1:35">
      <c r="A21" s="42" t="str">
        <f>'Technical details'!A19</f>
        <v>Lost production (planned down time)</v>
      </c>
      <c r="B21" s="42" t="s">
        <v>68</v>
      </c>
      <c r="C21" s="61"/>
      <c r="D21" s="61"/>
      <c r="E21" s="61"/>
      <c r="F21" s="27">
        <f>IF('Pre-conditions'!$B$5-Income!F$8&gt;0,0,'Technical details'!$C19+'Technical details'!$D19+'Technical details'!$E19+'Technical details'!F19+'Technical details'!G19+'Technical details'!H19)</f>
        <v>0</v>
      </c>
      <c r="G21" s="27">
        <f>IF('Pre-conditions'!$B$5-Income!G$8&gt;0,0,'Technical details'!$C19+'Technical details'!$D19+'Technical details'!$E19+'Technical details'!G19+'Technical details'!H19+'Technical details'!I19)</f>
        <v>0</v>
      </c>
      <c r="H21" s="27">
        <f>IF('Pre-conditions'!$B$5-Income!H$8&gt;0,0,'Technical details'!$C19+'Technical details'!$D19+'Technical details'!$E19+'Technical details'!H19+'Technical details'!I19+'Technical details'!J19)</f>
        <v>0</v>
      </c>
      <c r="I21" s="27">
        <f>IF('Pre-conditions'!$B$5-Income!I$8&gt;0,0,'Technical details'!$C19+'Technical details'!$D19+'Technical details'!$E19+'Technical details'!I19+'Technical details'!J19+'Technical details'!K19)</f>
        <v>2103.7500000000005</v>
      </c>
      <c r="J21" s="27">
        <f>IF('Pre-conditions'!$B$5-Income!J$8&gt;0,0,'Technical details'!$C19+'Technical details'!$D19+'Technical details'!$E19+'Technical details'!J19+'Technical details'!K19+'Technical details'!L19)</f>
        <v>2103.7500000000005</v>
      </c>
      <c r="K21" s="27">
        <f>IF('Pre-conditions'!$B$5-Income!K$8&gt;0,0,'Technical details'!$C19+'Technical details'!$D19+'Technical details'!$E19+'Technical details'!K19+'Technical details'!L19+'Technical details'!M19)</f>
        <v>2103.7500000000005</v>
      </c>
      <c r="L21" s="27">
        <f>IF('Pre-conditions'!$B$5-Income!L$8&gt;0,0,'Technical details'!$C19+'Technical details'!$D19+'Technical details'!$E19+'Technical details'!L19+'Technical details'!M19+'Technical details'!N19)</f>
        <v>2103.7500000000005</v>
      </c>
      <c r="M21" s="27">
        <f>IF('Pre-conditions'!$B$5-Income!M$8&gt;0,0,'Technical details'!$C19+'Technical details'!$D19+'Technical details'!$E19+'Technical details'!M19+'Technical details'!N19+'Technical details'!O19)</f>
        <v>2103.7500000000005</v>
      </c>
      <c r="N21" s="27">
        <f>IF('Pre-conditions'!$B$5-Income!N$8&gt;0,0,'Technical details'!$C19+'Technical details'!$D19+'Technical details'!$E19+'Technical details'!N19+'Technical details'!O19+'Technical details'!P19)</f>
        <v>2103.7500000000005</v>
      </c>
      <c r="O21" s="27">
        <f>IF('Pre-conditions'!$B$5-Income!O$8&gt;0,0,'Technical details'!$C19+'Technical details'!$D19+'Technical details'!$E19+'Technical details'!O19+'Technical details'!P19+'Technical details'!Q19)</f>
        <v>2103.7500000000005</v>
      </c>
      <c r="P21" s="27">
        <f>IF('Pre-conditions'!$B$5-Income!P$8&gt;0,0,'Technical details'!$C19+'Technical details'!$D19+'Technical details'!$E19+'Technical details'!P19+'Technical details'!Q19+'Technical details'!R19)</f>
        <v>2103.7500000000005</v>
      </c>
      <c r="Q21" s="27">
        <f>IF('Pre-conditions'!$B$5-Income!Q$8&gt;0,0,'Technical details'!$C19+'Technical details'!$D19+'Technical details'!$E19+'Technical details'!Q19+'Technical details'!R19+'Technical details'!S19)</f>
        <v>2103.7500000000005</v>
      </c>
      <c r="R21" s="27">
        <f>IF('Pre-conditions'!$B$5-Income!R$8&gt;0,0,'Technical details'!$C19+'Technical details'!$D19+'Technical details'!$E19+'Technical details'!R19+'Technical details'!S19+'Technical details'!T19)</f>
        <v>2103.7500000000005</v>
      </c>
      <c r="S21" s="27">
        <f>IF('Pre-conditions'!$B$5-Income!S$8&gt;0,0,'Technical details'!$C19+'Technical details'!$D19+'Technical details'!$E19+'Technical details'!S19+'Technical details'!T19+'Technical details'!U19)</f>
        <v>2103.7500000000005</v>
      </c>
      <c r="T21" s="27">
        <f>IF('Pre-conditions'!$B$5-Income!T$8&gt;0,0,'Technical details'!$C19+'Technical details'!$D19+'Technical details'!$E19+'Technical details'!T19+'Technical details'!U19+'Technical details'!V19)</f>
        <v>2103.7500000000005</v>
      </c>
      <c r="U21" s="27">
        <f>IF('Pre-conditions'!$B$5-Income!U$8&gt;0,0,'Technical details'!$C19+'Technical details'!$D19+'Technical details'!$E19+'Technical details'!U19+'Technical details'!V19+'Technical details'!W19)</f>
        <v>2103.7500000000005</v>
      </c>
      <c r="V21" s="27">
        <f>IF('Pre-conditions'!$B$5-Income!V$8&gt;0,0,'Technical details'!$C19+'Technical details'!$D19+'Technical details'!$E19+'Technical details'!V19+'Technical details'!W19+'Technical details'!X19)</f>
        <v>2103.7500000000005</v>
      </c>
      <c r="W21" s="27">
        <f>IF('Pre-conditions'!$B$5-Income!W$8&gt;0,0,'Technical details'!$C19+'Technical details'!$D19+'Technical details'!$E19+'Technical details'!W19+'Technical details'!X19+'Technical details'!Y19)</f>
        <v>2103.7500000000005</v>
      </c>
      <c r="X21" s="27">
        <f>IF('Pre-conditions'!$B$5-Income!X$8&gt;0,0,'Technical details'!$C19+'Technical details'!$D19+'Technical details'!$E19+'Technical details'!X19+'Technical details'!Y19+'Technical details'!Z19)</f>
        <v>2103.7500000000005</v>
      </c>
      <c r="Y21" s="27">
        <f>IF('Pre-conditions'!$B$5-Income!Y$8&gt;0,0,'Technical details'!$C19+'Technical details'!$D19+'Technical details'!$E19+'Technical details'!Y19+'Technical details'!Z19+'Technical details'!AA19)</f>
        <v>2103.7500000000005</v>
      </c>
      <c r="Z21" s="27">
        <f>IF('Pre-conditions'!$B$5-Income!Z$8&gt;0,0,'Technical details'!$C19+'Technical details'!$D19+'Technical details'!$E19+'Technical details'!Z19+'Technical details'!AA19+'Technical details'!AB19)</f>
        <v>2103.7500000000005</v>
      </c>
      <c r="AA21" s="27">
        <f>IF('Pre-conditions'!$B$5-Income!AA$8&gt;0,0,'Technical details'!$C19+'Technical details'!$D19+'Technical details'!$E19+'Technical details'!AA19+'Technical details'!AB19+'Technical details'!AC19)</f>
        <v>2103.7500000000005</v>
      </c>
      <c r="AB21" s="27">
        <f>IF('Pre-conditions'!$B$5-Income!AB$8&gt;0,0,'Technical details'!$C19+'Technical details'!$D19+'Technical details'!$E19+'Technical details'!AB19+'Technical details'!AC19+'Technical details'!AD19)</f>
        <v>2103.7500000000005</v>
      </c>
      <c r="AC21" s="27">
        <f>IF('Pre-conditions'!$B$5-Income!AC$8&gt;0,0,'Technical details'!$C19+'Technical details'!$D19+'Technical details'!$E19+'Technical details'!AC19+'Technical details'!AD19+'Technical details'!AE19)</f>
        <v>2103.7500000000005</v>
      </c>
      <c r="AD21" s="27">
        <f>IF('Pre-conditions'!$B$5-Income!AD$8&gt;0,0,'Technical details'!$C19+'Technical details'!$D19+'Technical details'!$E19+'Technical details'!AD19+'Technical details'!AE19+'Technical details'!AF19)</f>
        <v>2103.7500000000005</v>
      </c>
      <c r="AE21" s="27">
        <f>IF('Pre-conditions'!$B$5-Income!AE$8&gt;0,0,'Technical details'!$C19+'Technical details'!$D19+'Technical details'!$E19+'Technical details'!AE19+'Technical details'!AF19+'Technical details'!AG19)</f>
        <v>2103.7500000000005</v>
      </c>
      <c r="AF21" s="27">
        <f>IF('Pre-conditions'!$B$5-Income!AF$8&gt;0,0,'Technical details'!$C19+'Technical details'!$D19+'Technical details'!$E19+'Technical details'!AF19+'Technical details'!AG19+'Technical details'!AH19)</f>
        <v>2103.7500000000005</v>
      </c>
      <c r="AG21" s="27">
        <f>IF('Pre-conditions'!$B$5-Income!AG$8&gt;0,0,'Technical details'!$C19+'Technical details'!$D19+'Technical details'!$E19+'Technical details'!AG19+'Technical details'!AH19+'Technical details'!AI19)</f>
        <v>2103.7500000000005</v>
      </c>
      <c r="AH21" s="27">
        <f>IF('Pre-conditions'!$B$5-Income!AH$8&gt;0,0,'Technical details'!$C19+'Technical details'!$D19+'Technical details'!$E19+'Technical details'!AH19+'Technical details'!AI19+'Technical details'!AJ19)</f>
        <v>2103.7500000000005</v>
      </c>
      <c r="AI21" s="27">
        <f>IF('Pre-conditions'!$B$5-Income!AI$8&gt;0,0,'Technical details'!$C19+'Technical details'!$D19+'Technical details'!$E19+'Technical details'!AI19+'Technical details'!AJ19+'Technical details'!AK19)</f>
        <v>2103.7500000000005</v>
      </c>
    </row>
    <row r="22" spans="1:35">
      <c r="A22" s="13" t="str">
        <f>'Technical details'!A20</f>
        <v>Lost production - off take periods</v>
      </c>
      <c r="B22" s="43" t="s">
        <v>68</v>
      </c>
      <c r="C22" s="62"/>
      <c r="D22" s="62"/>
      <c r="E22" s="62"/>
      <c r="F22" s="28">
        <f>IF('Pre-conditions'!$B$5-Income!F$8&gt;0,0,'Technical details'!$C20+'Technical details'!$D20+'Technical details'!$E20+'Technical details'!F20+'Technical details'!G20+'Technical details'!H20)</f>
        <v>0</v>
      </c>
      <c r="G22" s="28">
        <f>IF('Pre-conditions'!$B$5-Income!G$8&gt;0,0,'Technical details'!$C20+'Technical details'!$D20+'Technical details'!$E20+'Technical details'!G20+'Technical details'!H20+'Technical details'!I20)</f>
        <v>0</v>
      </c>
      <c r="H22" s="28">
        <f>IF('Pre-conditions'!$B$5-Income!H$8&gt;0,0,'Technical details'!$C20+'Technical details'!$D20+'Technical details'!$E20+'Technical details'!H20+'Technical details'!I20+'Technical details'!J20)</f>
        <v>0</v>
      </c>
      <c r="I22" s="28">
        <f>IF('Pre-conditions'!$B$5-Income!I$8&gt;0,0,'Technical details'!$C20+'Technical details'!$D20+'Technical details'!$E20+'Technical details'!I20+'Technical details'!J20+'Technical details'!K20)</f>
        <v>935.00000000000011</v>
      </c>
      <c r="J22" s="28">
        <f>IF('Pre-conditions'!$B$5-Income!J$8&gt;0,0,'Technical details'!$C20+'Technical details'!$D20+'Technical details'!$E20+'Technical details'!J20+'Technical details'!K20+'Technical details'!L20)</f>
        <v>935.00000000000011</v>
      </c>
      <c r="K22" s="28">
        <f>IF('Pre-conditions'!$B$5-Income!K$8&gt;0,0,'Technical details'!$C20+'Technical details'!$D20+'Technical details'!$E20+'Technical details'!K20+'Technical details'!L20+'Technical details'!M20)</f>
        <v>935.00000000000011</v>
      </c>
      <c r="L22" s="28">
        <f>IF('Pre-conditions'!$B$5-Income!L$8&gt;0,0,'Technical details'!$C20+'Technical details'!$D20+'Technical details'!$E20+'Technical details'!L20+'Technical details'!M20+'Technical details'!N20)</f>
        <v>935.00000000000011</v>
      </c>
      <c r="M22" s="28">
        <f>IF('Pre-conditions'!$B$5-Income!M$8&gt;0,0,'Technical details'!$C20+'Technical details'!$D20+'Technical details'!$E20+'Technical details'!M20+'Technical details'!N20+'Technical details'!O20)</f>
        <v>935.00000000000011</v>
      </c>
      <c r="N22" s="28">
        <f>IF('Pre-conditions'!$B$5-Income!N$8&gt;0,0,'Technical details'!$C20+'Technical details'!$D20+'Technical details'!$E20+'Technical details'!N20+'Technical details'!O20+'Technical details'!P20)</f>
        <v>935.00000000000011</v>
      </c>
      <c r="O22" s="28">
        <f>IF('Pre-conditions'!$B$5-Income!O$8&gt;0,0,'Technical details'!$C20+'Technical details'!$D20+'Technical details'!$E20+'Technical details'!O20+'Technical details'!P20+'Technical details'!Q20)</f>
        <v>935.00000000000011</v>
      </c>
      <c r="P22" s="28">
        <f>IF('Pre-conditions'!$B$5-Income!P$8&gt;0,0,'Technical details'!$C20+'Technical details'!$D20+'Technical details'!$E20+'Technical details'!P20+'Technical details'!Q20+'Technical details'!R20)</f>
        <v>935.00000000000011</v>
      </c>
      <c r="Q22" s="28">
        <f>IF('Pre-conditions'!$B$5-Income!Q$8&gt;0,0,'Technical details'!$C20+'Technical details'!$D20+'Technical details'!$E20+'Technical details'!Q20+'Technical details'!R20+'Technical details'!S20)</f>
        <v>935.00000000000011</v>
      </c>
      <c r="R22" s="28">
        <f>IF('Pre-conditions'!$B$5-Income!R$8&gt;0,0,'Technical details'!$C20+'Technical details'!$D20+'Technical details'!$E20+'Technical details'!R20+'Technical details'!S20+'Technical details'!T20)</f>
        <v>935.00000000000011</v>
      </c>
      <c r="S22" s="28">
        <f>IF('Pre-conditions'!$B$5-Income!S$8&gt;0,0,'Technical details'!$C20+'Technical details'!$D20+'Technical details'!$E20+'Technical details'!S20+'Technical details'!T20+'Technical details'!U20)</f>
        <v>935.00000000000011</v>
      </c>
      <c r="T22" s="28">
        <f>IF('Pre-conditions'!$B$5-Income!T$8&gt;0,0,'Technical details'!$C20+'Technical details'!$D20+'Technical details'!$E20+'Technical details'!T20+'Technical details'!U20+'Technical details'!V20)</f>
        <v>935.00000000000011</v>
      </c>
      <c r="U22" s="28">
        <f>IF('Pre-conditions'!$B$5-Income!U$8&gt;0,0,'Technical details'!$C20+'Technical details'!$D20+'Technical details'!$E20+'Technical details'!U20+'Technical details'!V20+'Technical details'!W20)</f>
        <v>935.00000000000011</v>
      </c>
      <c r="V22" s="28">
        <f>IF('Pre-conditions'!$B$5-Income!V$8&gt;0,0,'Technical details'!$C20+'Technical details'!$D20+'Technical details'!$E20+'Technical details'!V20+'Technical details'!W20+'Technical details'!X20)</f>
        <v>935.00000000000011</v>
      </c>
      <c r="W22" s="28">
        <f>IF('Pre-conditions'!$B$5-Income!W$8&gt;0,0,'Technical details'!$C20+'Technical details'!$D20+'Technical details'!$E20+'Technical details'!W20+'Technical details'!X20+'Technical details'!Y20)</f>
        <v>935.00000000000011</v>
      </c>
      <c r="X22" s="28">
        <f>IF('Pre-conditions'!$B$5-Income!X$8&gt;0,0,'Technical details'!$C20+'Technical details'!$D20+'Technical details'!$E20+'Technical details'!X20+'Technical details'!Y20+'Technical details'!Z20)</f>
        <v>935.00000000000011</v>
      </c>
      <c r="Y22" s="28">
        <f>IF('Pre-conditions'!$B$5-Income!Y$8&gt;0,0,'Technical details'!$C20+'Technical details'!$D20+'Technical details'!$E20+'Technical details'!Y20+'Technical details'!Z20+'Technical details'!AA20)</f>
        <v>935.00000000000011</v>
      </c>
      <c r="Z22" s="28">
        <f>IF('Pre-conditions'!$B$5-Income!Z$8&gt;0,0,'Technical details'!$C20+'Technical details'!$D20+'Technical details'!$E20+'Technical details'!Z20+'Technical details'!AA20+'Technical details'!AB20)</f>
        <v>935.00000000000011</v>
      </c>
      <c r="AA22" s="28">
        <f>IF('Pre-conditions'!$B$5-Income!AA$8&gt;0,0,'Technical details'!$C20+'Technical details'!$D20+'Technical details'!$E20+'Technical details'!AA20+'Technical details'!AB20+'Technical details'!AC20)</f>
        <v>935.00000000000011</v>
      </c>
      <c r="AB22" s="28">
        <f>IF('Pre-conditions'!$B$5-Income!AB$8&gt;0,0,'Technical details'!$C20+'Technical details'!$D20+'Technical details'!$E20+'Technical details'!AB20+'Technical details'!AC20+'Technical details'!AD20)</f>
        <v>935.00000000000011</v>
      </c>
      <c r="AC22" s="28">
        <f>IF('Pre-conditions'!$B$5-Income!AC$8&gt;0,0,'Technical details'!$C20+'Technical details'!$D20+'Technical details'!$E20+'Technical details'!AC20+'Technical details'!AD20+'Technical details'!AE20)</f>
        <v>935.00000000000011</v>
      </c>
      <c r="AD22" s="28">
        <f>IF('Pre-conditions'!$B$5-Income!AD$8&gt;0,0,'Technical details'!$C20+'Technical details'!$D20+'Technical details'!$E20+'Technical details'!AD20+'Technical details'!AE20+'Technical details'!AF20)</f>
        <v>935.00000000000011</v>
      </c>
      <c r="AE22" s="28">
        <f>IF('Pre-conditions'!$B$5-Income!AE$8&gt;0,0,'Technical details'!$C20+'Technical details'!$D20+'Technical details'!$E20+'Technical details'!AE20+'Technical details'!AF20+'Technical details'!AG20)</f>
        <v>935.00000000000011</v>
      </c>
      <c r="AF22" s="28">
        <f>IF('Pre-conditions'!$B$5-Income!AF$8&gt;0,0,'Technical details'!$C20+'Technical details'!$D20+'Technical details'!$E20+'Technical details'!AF20+'Technical details'!AG20+'Technical details'!AH20)</f>
        <v>935.00000000000011</v>
      </c>
      <c r="AG22" s="28">
        <f>IF('Pre-conditions'!$B$5-Income!AG$8&gt;0,0,'Technical details'!$C20+'Technical details'!$D20+'Technical details'!$E20+'Technical details'!AG20+'Technical details'!AH20+'Technical details'!AI20)</f>
        <v>935.00000000000011</v>
      </c>
      <c r="AH22" s="28">
        <f>IF('Pre-conditions'!$B$5-Income!AH$8&gt;0,0,'Technical details'!$C20+'Technical details'!$D20+'Technical details'!$E20+'Technical details'!AH20+'Technical details'!AI20+'Technical details'!AJ20)</f>
        <v>935.00000000000011</v>
      </c>
      <c r="AI22" s="28">
        <f>IF('Pre-conditions'!$B$5-Income!AI$8&gt;0,0,'Technical details'!$C20+'Technical details'!$D20+'Technical details'!$E20+'Technical details'!AI20+'Technical details'!AJ20+'Technical details'!AK20)</f>
        <v>935.00000000000011</v>
      </c>
    </row>
    <row r="23" spans="1:35">
      <c r="A23" s="32" t="s">
        <v>101</v>
      </c>
      <c r="B23" s="44" t="s">
        <v>68</v>
      </c>
      <c r="C23" s="210">
        <f>NPV('Pre-conditions'!$B$8,F24:AI24)</f>
        <v>386832.74058031995</v>
      </c>
      <c r="D23" s="63"/>
      <c r="E23" s="63"/>
      <c r="F23" s="36">
        <f t="shared" ref="F23:H23" si="2">F20-F21-F22</f>
        <v>0</v>
      </c>
      <c r="G23" s="36">
        <f t="shared" si="2"/>
        <v>0</v>
      </c>
      <c r="H23" s="36">
        <f t="shared" si="2"/>
        <v>0</v>
      </c>
      <c r="I23" s="36">
        <f>I20-I21-I22</f>
        <v>34875.500000000007</v>
      </c>
      <c r="J23" s="36">
        <f t="shared" ref="J23:AI23" si="3">J20-J21-J22</f>
        <v>34875.500000000007</v>
      </c>
      <c r="K23" s="36">
        <f t="shared" si="3"/>
        <v>34875.500000000007</v>
      </c>
      <c r="L23" s="36">
        <f t="shared" si="3"/>
        <v>34875.500000000007</v>
      </c>
      <c r="M23" s="36">
        <f t="shared" si="3"/>
        <v>34875.500000000007</v>
      </c>
      <c r="N23" s="36">
        <f t="shared" si="3"/>
        <v>34875.500000000007</v>
      </c>
      <c r="O23" s="36">
        <f t="shared" si="3"/>
        <v>34875.500000000007</v>
      </c>
      <c r="P23" s="36">
        <f t="shared" si="3"/>
        <v>34875.500000000007</v>
      </c>
      <c r="Q23" s="36">
        <f t="shared" si="3"/>
        <v>34875.500000000007</v>
      </c>
      <c r="R23" s="36">
        <f t="shared" si="3"/>
        <v>34875.500000000007</v>
      </c>
      <c r="S23" s="36">
        <f t="shared" si="3"/>
        <v>34875.500000000007</v>
      </c>
      <c r="T23" s="36">
        <f t="shared" si="3"/>
        <v>34875.500000000007</v>
      </c>
      <c r="U23" s="36">
        <f t="shared" si="3"/>
        <v>34875.500000000007</v>
      </c>
      <c r="V23" s="36">
        <f t="shared" si="3"/>
        <v>34875.500000000007</v>
      </c>
      <c r="W23" s="36">
        <f t="shared" si="3"/>
        <v>34875.500000000007</v>
      </c>
      <c r="X23" s="36">
        <f t="shared" si="3"/>
        <v>34875.500000000007</v>
      </c>
      <c r="Y23" s="36">
        <f t="shared" si="3"/>
        <v>34875.500000000007</v>
      </c>
      <c r="Z23" s="36">
        <f t="shared" si="3"/>
        <v>34875.500000000007</v>
      </c>
      <c r="AA23" s="36">
        <f t="shared" si="3"/>
        <v>34875.500000000007</v>
      </c>
      <c r="AB23" s="36">
        <f t="shared" si="3"/>
        <v>34875.500000000007</v>
      </c>
      <c r="AC23" s="36">
        <f t="shared" si="3"/>
        <v>34875.500000000007</v>
      </c>
      <c r="AD23" s="36">
        <f t="shared" si="3"/>
        <v>34875.500000000007</v>
      </c>
      <c r="AE23" s="36">
        <f t="shared" si="3"/>
        <v>34875.500000000007</v>
      </c>
      <c r="AF23" s="36">
        <f t="shared" si="3"/>
        <v>34875.500000000007</v>
      </c>
      <c r="AG23" s="36">
        <f t="shared" si="3"/>
        <v>34875.500000000007</v>
      </c>
      <c r="AH23" s="36">
        <f t="shared" si="3"/>
        <v>34875.500000000007</v>
      </c>
      <c r="AI23" s="37">
        <f t="shared" si="3"/>
        <v>34875.500000000007</v>
      </c>
    </row>
    <row r="24" spans="1:35" s="55" customFormat="1" hidden="1">
      <c r="A24" s="52"/>
      <c r="B24" s="52"/>
      <c r="C24" s="53"/>
      <c r="D24" s="53"/>
      <c r="E24" s="54"/>
      <c r="F24" s="209">
        <f>IF(F8&lt;='Pre-conditions'!$B$5+C10-1,F23,0)</f>
        <v>0</v>
      </c>
      <c r="G24" s="209">
        <f>IF(G8&lt;='Pre-conditions'!$B$5+D10-1,G23,0)</f>
        <v>0</v>
      </c>
      <c r="H24" s="209">
        <f>IF(H8&lt;='Pre-conditions'!$B$5+E10-1,H23,0)</f>
        <v>0</v>
      </c>
      <c r="I24" s="209">
        <f>IF(I8&lt;='Pre-conditions'!$B$5+F10-1,I23,0)</f>
        <v>34875.500000000007</v>
      </c>
      <c r="J24" s="209">
        <f>IF(J8&lt;='Pre-conditions'!$B$5+G10-1,J23,0)</f>
        <v>34875.500000000007</v>
      </c>
      <c r="K24" s="209">
        <f>IF(K8&lt;='Pre-conditions'!$B$5+H10-1,K23,0)</f>
        <v>34875.500000000007</v>
      </c>
      <c r="L24" s="209">
        <f>IF(L8&lt;='Pre-conditions'!$B$5+I10-1,L23,0)</f>
        <v>34875.500000000007</v>
      </c>
      <c r="M24" s="209">
        <f>IF(M8&lt;='Pre-conditions'!$B$5+J10-1,M23,0)</f>
        <v>34875.500000000007</v>
      </c>
      <c r="N24" s="209">
        <f>IF(N8&lt;='Pre-conditions'!$B$5+K10-1,N23,0)</f>
        <v>34875.500000000007</v>
      </c>
      <c r="O24" s="209">
        <f>IF(O8&lt;='Pre-conditions'!$B$5+L10-1,O23,0)</f>
        <v>34875.500000000007</v>
      </c>
      <c r="P24" s="209">
        <f>IF(P8&lt;='Pre-conditions'!$B$5+M10-1,P23,0)</f>
        <v>34875.500000000007</v>
      </c>
      <c r="Q24" s="209">
        <f>IF(Q8&lt;='Pre-conditions'!$B$5+N10-1,Q23,0)</f>
        <v>34875.500000000007</v>
      </c>
      <c r="R24" s="209">
        <f>IF(R8&lt;='Pre-conditions'!$B$5+O10-1,R23,0)</f>
        <v>34875.500000000007</v>
      </c>
      <c r="S24" s="209">
        <f>IF(S8&lt;='Pre-conditions'!$B$5+P10-1,S23,0)</f>
        <v>34875.500000000007</v>
      </c>
      <c r="T24" s="209">
        <f>IF(T8&lt;='Pre-conditions'!$B$5+Q10-1,T23,0)</f>
        <v>34875.500000000007</v>
      </c>
      <c r="U24" s="209">
        <f>IF(U8&lt;='Pre-conditions'!$B$5+R10-1,U23,0)</f>
        <v>34875.500000000007</v>
      </c>
      <c r="V24" s="209">
        <f>IF(V8&lt;='Pre-conditions'!$B$5+S10-1,V23,0)</f>
        <v>34875.500000000007</v>
      </c>
      <c r="W24" s="209">
        <f>IF(W8&lt;='Pre-conditions'!$B$5+T10-1,W23,0)</f>
        <v>34875.500000000007</v>
      </c>
      <c r="X24" s="209">
        <f>IF(X8&lt;='Pre-conditions'!$B$5+U10-1,X23,0)</f>
        <v>34875.500000000007</v>
      </c>
      <c r="Y24" s="209">
        <f>IF(Y8&lt;='Pre-conditions'!$B$5+V10-1,Y23,0)</f>
        <v>34875.500000000007</v>
      </c>
      <c r="Z24" s="209">
        <f>IF(Z8&lt;='Pre-conditions'!$B$5+W10-1,Z23,0)</f>
        <v>34875.500000000007</v>
      </c>
      <c r="AA24" s="209">
        <f>IF(AA8&lt;='Pre-conditions'!$B$5+X10-1,AA23,0)</f>
        <v>34875.500000000007</v>
      </c>
      <c r="AB24" s="209">
        <f>IF(AB8&lt;='Pre-conditions'!$B$5+Y10-1,AB23,0)</f>
        <v>34875.500000000007</v>
      </c>
      <c r="AC24" s="209">
        <f>IF(AC8&lt;='Pre-conditions'!$B$5+Z10-1,AC23,0)</f>
        <v>34875.500000000007</v>
      </c>
      <c r="AD24" s="209">
        <f>IF(AD8&lt;='Pre-conditions'!$B$5+AA10-1,AD23,0)</f>
        <v>34875.500000000007</v>
      </c>
      <c r="AE24" s="209">
        <f>IF(AE8&lt;='Pre-conditions'!$B$5+AB10-1,AE23,0)</f>
        <v>34875.500000000007</v>
      </c>
      <c r="AF24" s="209">
        <f>IF(AF8&lt;='Pre-conditions'!$B$5+AC10-1,AF23,0)</f>
        <v>34875.500000000007</v>
      </c>
      <c r="AG24" s="209">
        <f>IF(AG8&lt;='Pre-conditions'!$B$5+AD10-1,AG23,0)</f>
        <v>34875.500000000007</v>
      </c>
      <c r="AH24" s="209">
        <f>IF(AH8&lt;='Pre-conditions'!$B$5+AE10-1,AH23,0)</f>
        <v>34875.500000000007</v>
      </c>
      <c r="AI24" s="209">
        <f>IF(AI8&lt;='Pre-conditions'!$B$5+AF10-1,AI23,0)</f>
        <v>34875.500000000007</v>
      </c>
    </row>
    <row r="25" spans="1:35"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>
      <c r="A26" s="26" t="s">
        <v>64</v>
      </c>
      <c r="B26" s="41"/>
      <c r="C26" s="60"/>
      <c r="D26" s="60"/>
      <c r="E26" s="4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0"/>
    </row>
    <row r="27" spans="1:35">
      <c r="A27" s="12" t="s">
        <v>78</v>
      </c>
      <c r="B27" s="42" t="s">
        <v>21</v>
      </c>
      <c r="C27" s="61"/>
      <c r="D27" s="61"/>
      <c r="E27" s="46">
        <f t="shared" ref="E27:E34" si="4">SUM(F27:AI27)</f>
        <v>72.541040000000024</v>
      </c>
      <c r="F27" s="30">
        <f t="shared" ref="F27:AI27" si="5">F12*F23/1000</f>
        <v>0</v>
      </c>
      <c r="G27" s="30">
        <f t="shared" si="5"/>
        <v>0</v>
      </c>
      <c r="H27" s="30">
        <f t="shared" si="5"/>
        <v>0</v>
      </c>
      <c r="I27" s="30">
        <f t="shared" si="5"/>
        <v>4.18506</v>
      </c>
      <c r="J27" s="30">
        <f t="shared" si="5"/>
        <v>4.18506</v>
      </c>
      <c r="K27" s="30">
        <f t="shared" si="5"/>
        <v>4.18506</v>
      </c>
      <c r="L27" s="30">
        <f t="shared" si="5"/>
        <v>4.18506</v>
      </c>
      <c r="M27" s="30">
        <f t="shared" si="5"/>
        <v>4.18506</v>
      </c>
      <c r="N27" s="30">
        <f t="shared" si="5"/>
        <v>4.18506</v>
      </c>
      <c r="O27" s="30">
        <f t="shared" si="5"/>
        <v>4.18506</v>
      </c>
      <c r="P27" s="30">
        <f t="shared" si="5"/>
        <v>2.1622810000000006</v>
      </c>
      <c r="Q27" s="30">
        <f t="shared" si="5"/>
        <v>2.1622810000000006</v>
      </c>
      <c r="R27" s="30">
        <f t="shared" si="5"/>
        <v>2.1622810000000006</v>
      </c>
      <c r="S27" s="30">
        <f t="shared" si="5"/>
        <v>2.1622810000000006</v>
      </c>
      <c r="T27" s="30">
        <f t="shared" si="5"/>
        <v>2.1622810000000006</v>
      </c>
      <c r="U27" s="30">
        <f t="shared" si="5"/>
        <v>2.1622810000000006</v>
      </c>
      <c r="V27" s="30">
        <f t="shared" si="5"/>
        <v>2.1622810000000006</v>
      </c>
      <c r="W27" s="30">
        <f t="shared" si="5"/>
        <v>2.1622810000000006</v>
      </c>
      <c r="X27" s="30">
        <f t="shared" si="5"/>
        <v>2.1622810000000006</v>
      </c>
      <c r="Y27" s="30">
        <f t="shared" si="5"/>
        <v>2.1622810000000006</v>
      </c>
      <c r="Z27" s="30">
        <f t="shared" si="5"/>
        <v>2.1622810000000006</v>
      </c>
      <c r="AA27" s="30">
        <f t="shared" si="5"/>
        <v>2.1622810000000006</v>
      </c>
      <c r="AB27" s="30">
        <f t="shared" si="5"/>
        <v>2.1622810000000006</v>
      </c>
      <c r="AC27" s="30">
        <f t="shared" si="5"/>
        <v>2.1622810000000006</v>
      </c>
      <c r="AD27" s="30">
        <f t="shared" si="5"/>
        <v>2.1622810000000006</v>
      </c>
      <c r="AE27" s="30">
        <f t="shared" si="5"/>
        <v>2.1622810000000006</v>
      </c>
      <c r="AF27" s="30">
        <f t="shared" si="5"/>
        <v>2.1622810000000006</v>
      </c>
      <c r="AG27" s="30">
        <f t="shared" si="5"/>
        <v>2.1622810000000006</v>
      </c>
      <c r="AH27" s="30">
        <f t="shared" si="5"/>
        <v>2.1622810000000006</v>
      </c>
      <c r="AI27" s="31">
        <f t="shared" si="5"/>
        <v>2.1622810000000006</v>
      </c>
    </row>
    <row r="28" spans="1:35">
      <c r="A28" s="12" t="s">
        <v>84</v>
      </c>
      <c r="B28" s="42" t="s">
        <v>21</v>
      </c>
      <c r="C28" s="61"/>
      <c r="D28" s="61"/>
      <c r="E28" s="46">
        <f t="shared" si="4"/>
        <v>0</v>
      </c>
      <c r="F28" s="30">
        <f>F13*F23/1000</f>
        <v>0</v>
      </c>
      <c r="G28" s="30">
        <f t="shared" ref="G28:AI28" si="6">G13*G23/1000</f>
        <v>0</v>
      </c>
      <c r="H28" s="30">
        <f t="shared" si="6"/>
        <v>0</v>
      </c>
      <c r="I28" s="30">
        <f>I13*I23/1000</f>
        <v>0</v>
      </c>
      <c r="J28" s="30">
        <f t="shared" si="6"/>
        <v>0</v>
      </c>
      <c r="K28" s="30">
        <f t="shared" si="6"/>
        <v>0</v>
      </c>
      <c r="L28" s="30">
        <f t="shared" si="6"/>
        <v>0</v>
      </c>
      <c r="M28" s="30">
        <f t="shared" si="6"/>
        <v>0</v>
      </c>
      <c r="N28" s="30">
        <f t="shared" si="6"/>
        <v>0</v>
      </c>
      <c r="O28" s="30">
        <f t="shared" si="6"/>
        <v>0</v>
      </c>
      <c r="P28" s="30">
        <f t="shared" si="6"/>
        <v>0</v>
      </c>
      <c r="Q28" s="30">
        <f t="shared" si="6"/>
        <v>0</v>
      </c>
      <c r="R28" s="30">
        <f t="shared" si="6"/>
        <v>0</v>
      </c>
      <c r="S28" s="30">
        <f t="shared" si="6"/>
        <v>0</v>
      </c>
      <c r="T28" s="30">
        <f t="shared" si="6"/>
        <v>0</v>
      </c>
      <c r="U28" s="30">
        <f t="shared" si="6"/>
        <v>0</v>
      </c>
      <c r="V28" s="30">
        <f t="shared" si="6"/>
        <v>0</v>
      </c>
      <c r="W28" s="30">
        <f t="shared" si="6"/>
        <v>0</v>
      </c>
      <c r="X28" s="30">
        <f t="shared" si="6"/>
        <v>0</v>
      </c>
      <c r="Y28" s="30">
        <f t="shared" si="6"/>
        <v>0</v>
      </c>
      <c r="Z28" s="30">
        <f t="shared" si="6"/>
        <v>0</v>
      </c>
      <c r="AA28" s="30">
        <f t="shared" si="6"/>
        <v>0</v>
      </c>
      <c r="AB28" s="30">
        <f t="shared" si="6"/>
        <v>0</v>
      </c>
      <c r="AC28" s="30">
        <f t="shared" si="6"/>
        <v>0</v>
      </c>
      <c r="AD28" s="30">
        <f t="shared" si="6"/>
        <v>0</v>
      </c>
      <c r="AE28" s="30">
        <f t="shared" si="6"/>
        <v>0</v>
      </c>
      <c r="AF28" s="30">
        <f t="shared" si="6"/>
        <v>0</v>
      </c>
      <c r="AG28" s="30">
        <f t="shared" si="6"/>
        <v>0</v>
      </c>
      <c r="AH28" s="30">
        <f t="shared" si="6"/>
        <v>0</v>
      </c>
      <c r="AI28" s="31">
        <f t="shared" si="6"/>
        <v>0</v>
      </c>
    </row>
    <row r="29" spans="1:35">
      <c r="A29" s="12" t="s">
        <v>95</v>
      </c>
      <c r="B29" s="42" t="s">
        <v>21</v>
      </c>
      <c r="C29" s="61"/>
      <c r="D29" s="61"/>
      <c r="E29" s="46">
        <f t="shared" si="4"/>
        <v>2.0850500000000012</v>
      </c>
      <c r="F29" s="30">
        <f>F14*F22/1000</f>
        <v>0</v>
      </c>
      <c r="G29" s="30">
        <f t="shared" ref="G29:AI29" si="7">G14*G22/1000</f>
        <v>0</v>
      </c>
      <c r="H29" s="30">
        <f t="shared" si="7"/>
        <v>0</v>
      </c>
      <c r="I29" s="30">
        <f>I14*I21/1000</f>
        <v>0.25245000000000006</v>
      </c>
      <c r="J29" s="30">
        <f t="shared" si="7"/>
        <v>0.11220000000000001</v>
      </c>
      <c r="K29" s="30">
        <f t="shared" si="7"/>
        <v>0.11220000000000001</v>
      </c>
      <c r="L29" s="30">
        <f t="shared" si="7"/>
        <v>0.11220000000000001</v>
      </c>
      <c r="M29" s="30">
        <f t="shared" si="7"/>
        <v>0.11220000000000001</v>
      </c>
      <c r="N29" s="30">
        <f t="shared" si="7"/>
        <v>0.11220000000000001</v>
      </c>
      <c r="O29" s="30">
        <f t="shared" si="7"/>
        <v>0.11220000000000001</v>
      </c>
      <c r="P29" s="30">
        <f t="shared" si="7"/>
        <v>5.7970000000000008E-2</v>
      </c>
      <c r="Q29" s="30">
        <f t="shared" si="7"/>
        <v>5.7970000000000008E-2</v>
      </c>
      <c r="R29" s="30">
        <f t="shared" si="7"/>
        <v>5.7970000000000008E-2</v>
      </c>
      <c r="S29" s="30">
        <f t="shared" si="7"/>
        <v>5.7970000000000008E-2</v>
      </c>
      <c r="T29" s="30">
        <f t="shared" si="7"/>
        <v>5.7970000000000008E-2</v>
      </c>
      <c r="U29" s="30">
        <f t="shared" si="7"/>
        <v>5.7970000000000008E-2</v>
      </c>
      <c r="V29" s="30">
        <f t="shared" si="7"/>
        <v>5.7970000000000008E-2</v>
      </c>
      <c r="W29" s="30">
        <f t="shared" si="7"/>
        <v>5.7970000000000008E-2</v>
      </c>
      <c r="X29" s="30">
        <f t="shared" si="7"/>
        <v>5.7970000000000008E-2</v>
      </c>
      <c r="Y29" s="30">
        <f t="shared" si="7"/>
        <v>5.7970000000000008E-2</v>
      </c>
      <c r="Z29" s="30">
        <f t="shared" si="7"/>
        <v>5.7970000000000008E-2</v>
      </c>
      <c r="AA29" s="30">
        <f t="shared" si="7"/>
        <v>5.7970000000000008E-2</v>
      </c>
      <c r="AB29" s="30">
        <f t="shared" si="7"/>
        <v>5.7970000000000008E-2</v>
      </c>
      <c r="AC29" s="30">
        <f t="shared" si="7"/>
        <v>5.7970000000000008E-2</v>
      </c>
      <c r="AD29" s="30">
        <f t="shared" si="7"/>
        <v>5.7970000000000008E-2</v>
      </c>
      <c r="AE29" s="30">
        <f t="shared" si="7"/>
        <v>5.7970000000000008E-2</v>
      </c>
      <c r="AF29" s="30">
        <f t="shared" si="7"/>
        <v>5.7970000000000008E-2</v>
      </c>
      <c r="AG29" s="30">
        <f t="shared" si="7"/>
        <v>5.7970000000000008E-2</v>
      </c>
      <c r="AH29" s="30">
        <f t="shared" si="7"/>
        <v>5.7970000000000008E-2</v>
      </c>
      <c r="AI29" s="31">
        <f t="shared" si="7"/>
        <v>5.7970000000000008E-2</v>
      </c>
    </row>
    <row r="30" spans="1:35">
      <c r="A30" s="12" t="str">
        <f>A15</f>
        <v xml:space="preserve">GETFiT </v>
      </c>
      <c r="B30" s="42" t="s">
        <v>21</v>
      </c>
      <c r="C30" s="61"/>
      <c r="D30" s="61"/>
      <c r="E30" s="46">
        <f t="shared" si="4"/>
        <v>18.83277</v>
      </c>
      <c r="F30" s="30">
        <f t="shared" ref="F30:H30" si="8">F23*F15/1000</f>
        <v>0</v>
      </c>
      <c r="G30" s="30">
        <f t="shared" si="8"/>
        <v>0</v>
      </c>
      <c r="H30" s="30">
        <f t="shared" si="8"/>
        <v>0</v>
      </c>
      <c r="I30" s="30">
        <f>I23*I15/1000</f>
        <v>0.69751000000000007</v>
      </c>
      <c r="J30" s="30">
        <f t="shared" ref="J30:AI30" si="9">J23*J15/1000</f>
        <v>0.69751000000000007</v>
      </c>
      <c r="K30" s="30">
        <f t="shared" si="9"/>
        <v>0.69751000000000007</v>
      </c>
      <c r="L30" s="30">
        <f t="shared" si="9"/>
        <v>0.69751000000000007</v>
      </c>
      <c r="M30" s="30">
        <f t="shared" si="9"/>
        <v>0.69751000000000007</v>
      </c>
      <c r="N30" s="30">
        <f t="shared" si="9"/>
        <v>0.69751000000000007</v>
      </c>
      <c r="O30" s="30">
        <f t="shared" si="9"/>
        <v>0.69751000000000007</v>
      </c>
      <c r="P30" s="30">
        <f t="shared" si="9"/>
        <v>0.69751000000000007</v>
      </c>
      <c r="Q30" s="30">
        <f t="shared" si="9"/>
        <v>0.69751000000000007</v>
      </c>
      <c r="R30" s="30">
        <f t="shared" si="9"/>
        <v>0.69751000000000007</v>
      </c>
      <c r="S30" s="30">
        <f t="shared" si="9"/>
        <v>0.69751000000000007</v>
      </c>
      <c r="T30" s="30">
        <f t="shared" si="9"/>
        <v>0.69751000000000007</v>
      </c>
      <c r="U30" s="30">
        <f t="shared" si="9"/>
        <v>0.69751000000000007</v>
      </c>
      <c r="V30" s="30">
        <f t="shared" si="9"/>
        <v>0.69751000000000007</v>
      </c>
      <c r="W30" s="30">
        <f t="shared" si="9"/>
        <v>0.69751000000000007</v>
      </c>
      <c r="X30" s="30">
        <f t="shared" si="9"/>
        <v>0.69751000000000007</v>
      </c>
      <c r="Y30" s="30">
        <f t="shared" si="9"/>
        <v>0.69751000000000007</v>
      </c>
      <c r="Z30" s="30">
        <f t="shared" si="9"/>
        <v>0.69751000000000007</v>
      </c>
      <c r="AA30" s="30">
        <f t="shared" si="9"/>
        <v>0.69751000000000007</v>
      </c>
      <c r="AB30" s="30">
        <f t="shared" si="9"/>
        <v>0.69751000000000007</v>
      </c>
      <c r="AC30" s="30">
        <f t="shared" si="9"/>
        <v>0.69751000000000007</v>
      </c>
      <c r="AD30" s="30">
        <f t="shared" si="9"/>
        <v>0.69751000000000007</v>
      </c>
      <c r="AE30" s="30">
        <f t="shared" si="9"/>
        <v>0.69751000000000007</v>
      </c>
      <c r="AF30" s="30">
        <f t="shared" si="9"/>
        <v>0.69751000000000007</v>
      </c>
      <c r="AG30" s="30">
        <f t="shared" si="9"/>
        <v>0.69751000000000007</v>
      </c>
      <c r="AH30" s="30">
        <f t="shared" si="9"/>
        <v>0.69751000000000007</v>
      </c>
      <c r="AI30" s="31">
        <f t="shared" si="9"/>
        <v>0.69751000000000007</v>
      </c>
    </row>
    <row r="31" spans="1:35">
      <c r="A31" s="12" t="s">
        <v>99</v>
      </c>
      <c r="B31" s="42" t="s">
        <v>21</v>
      </c>
      <c r="C31" s="61"/>
      <c r="D31" s="61"/>
      <c r="E31" s="46">
        <f t="shared" si="4"/>
        <v>0</v>
      </c>
      <c r="F31" s="30">
        <f>F16*F23/1000</f>
        <v>0</v>
      </c>
      <c r="G31" s="30">
        <f t="shared" ref="G31:AI31" si="10">G16*G23/1000</f>
        <v>0</v>
      </c>
      <c r="H31" s="30">
        <f t="shared" si="10"/>
        <v>0</v>
      </c>
      <c r="I31" s="30">
        <f t="shared" si="10"/>
        <v>0</v>
      </c>
      <c r="J31" s="30">
        <f t="shared" si="10"/>
        <v>0</v>
      </c>
      <c r="K31" s="30">
        <f t="shared" si="10"/>
        <v>0</v>
      </c>
      <c r="L31" s="30">
        <f t="shared" si="10"/>
        <v>0</v>
      </c>
      <c r="M31" s="30">
        <f t="shared" si="10"/>
        <v>0</v>
      </c>
      <c r="N31" s="30">
        <f t="shared" si="10"/>
        <v>0</v>
      </c>
      <c r="O31" s="30">
        <f t="shared" si="10"/>
        <v>0</v>
      </c>
      <c r="P31" s="30">
        <f t="shared" si="10"/>
        <v>0</v>
      </c>
      <c r="Q31" s="30">
        <f t="shared" si="10"/>
        <v>0</v>
      </c>
      <c r="R31" s="30">
        <f t="shared" si="10"/>
        <v>0</v>
      </c>
      <c r="S31" s="30">
        <f t="shared" si="10"/>
        <v>0</v>
      </c>
      <c r="T31" s="30">
        <f t="shared" si="10"/>
        <v>0</v>
      </c>
      <c r="U31" s="30">
        <f t="shared" si="10"/>
        <v>0</v>
      </c>
      <c r="V31" s="30">
        <f t="shared" si="10"/>
        <v>0</v>
      </c>
      <c r="W31" s="30">
        <f t="shared" si="10"/>
        <v>0</v>
      </c>
      <c r="X31" s="30">
        <f t="shared" si="10"/>
        <v>0</v>
      </c>
      <c r="Y31" s="30">
        <f t="shared" si="10"/>
        <v>0</v>
      </c>
      <c r="Z31" s="30">
        <f t="shared" si="10"/>
        <v>0</v>
      </c>
      <c r="AA31" s="30">
        <f t="shared" si="10"/>
        <v>0</v>
      </c>
      <c r="AB31" s="30">
        <f t="shared" si="10"/>
        <v>0</v>
      </c>
      <c r="AC31" s="30">
        <f t="shared" si="10"/>
        <v>0</v>
      </c>
      <c r="AD31" s="30">
        <f t="shared" si="10"/>
        <v>0</v>
      </c>
      <c r="AE31" s="30">
        <f t="shared" si="10"/>
        <v>0</v>
      </c>
      <c r="AF31" s="30">
        <f t="shared" si="10"/>
        <v>0</v>
      </c>
      <c r="AG31" s="30">
        <f t="shared" si="10"/>
        <v>0</v>
      </c>
      <c r="AH31" s="30">
        <f t="shared" si="10"/>
        <v>0</v>
      </c>
      <c r="AI31" s="31">
        <f t="shared" si="10"/>
        <v>0</v>
      </c>
    </row>
    <row r="32" spans="1:35">
      <c r="A32" s="12" t="s">
        <v>121</v>
      </c>
      <c r="B32" s="42" t="s">
        <v>21</v>
      </c>
      <c r="C32" s="61"/>
      <c r="D32" s="61"/>
      <c r="E32" s="46">
        <f t="shared" si="4"/>
        <v>0</v>
      </c>
      <c r="F32" s="545"/>
      <c r="G32" s="545"/>
      <c r="H32" s="545"/>
      <c r="I32" s="545"/>
      <c r="J32" s="545"/>
      <c r="K32" s="545"/>
      <c r="L32" s="545"/>
      <c r="M32" s="545"/>
      <c r="N32" s="545"/>
      <c r="O32" s="545"/>
      <c r="P32" s="545"/>
      <c r="Q32" s="545"/>
      <c r="R32" s="545"/>
      <c r="S32" s="545"/>
      <c r="T32" s="545"/>
      <c r="U32" s="545"/>
      <c r="V32" s="545"/>
      <c r="W32" s="545"/>
      <c r="X32" s="545"/>
      <c r="Y32" s="545"/>
      <c r="Z32" s="545"/>
      <c r="AA32" s="545"/>
      <c r="AB32" s="545"/>
      <c r="AC32" s="545"/>
      <c r="AD32" s="545"/>
      <c r="AE32" s="545"/>
      <c r="AF32" s="545"/>
      <c r="AG32" s="545"/>
      <c r="AH32" s="545"/>
      <c r="AI32" s="546"/>
    </row>
    <row r="33" spans="1:35">
      <c r="A33" s="12" t="s">
        <v>122</v>
      </c>
      <c r="B33" s="42" t="s">
        <v>21</v>
      </c>
      <c r="C33" s="61"/>
      <c r="D33" s="61"/>
      <c r="E33" s="46">
        <f t="shared" si="4"/>
        <v>0</v>
      </c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6"/>
    </row>
    <row r="34" spans="1:35">
      <c r="A34" s="13" t="s">
        <v>123</v>
      </c>
      <c r="B34" s="43" t="s">
        <v>21</v>
      </c>
      <c r="C34" s="62"/>
      <c r="D34" s="62"/>
      <c r="E34" s="47">
        <f t="shared" si="4"/>
        <v>0</v>
      </c>
      <c r="F34" s="54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547"/>
      <c r="R34" s="547"/>
      <c r="S34" s="547"/>
      <c r="T34" s="547"/>
      <c r="U34" s="547"/>
      <c r="V34" s="547"/>
      <c r="W34" s="547"/>
      <c r="X34" s="547"/>
      <c r="Y34" s="547"/>
      <c r="Z34" s="547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>
      <c r="A35" s="32" t="s">
        <v>298</v>
      </c>
      <c r="B35" s="44" t="s">
        <v>21</v>
      </c>
      <c r="C35" s="50">
        <f>NPV('Pre-conditions'!$B$8,F36:AI36)</f>
        <v>41.162961589096888</v>
      </c>
      <c r="D35" s="50">
        <f>NPV('Pre-conditions'!$B$8,F35:AI35)</f>
        <v>42.209465793429331</v>
      </c>
      <c r="E35" s="48">
        <f>SUM(E27:E34)</f>
        <v>93.458860000000016</v>
      </c>
      <c r="F35" s="33">
        <f t="shared" ref="F35:AI35" si="11">SUM(F27:F34)</f>
        <v>0</v>
      </c>
      <c r="G35" s="33">
        <f t="shared" si="11"/>
        <v>0</v>
      </c>
      <c r="H35" s="33">
        <f t="shared" si="11"/>
        <v>0</v>
      </c>
      <c r="I35" s="33">
        <f t="shared" si="11"/>
        <v>5.1350199999999999</v>
      </c>
      <c r="J35" s="33">
        <f t="shared" si="11"/>
        <v>4.9947699999999999</v>
      </c>
      <c r="K35" s="33">
        <f t="shared" si="11"/>
        <v>4.9947699999999999</v>
      </c>
      <c r="L35" s="33">
        <f t="shared" si="11"/>
        <v>4.9947699999999999</v>
      </c>
      <c r="M35" s="33">
        <f t="shared" si="11"/>
        <v>4.9947699999999999</v>
      </c>
      <c r="N35" s="33">
        <f t="shared" si="11"/>
        <v>4.9947699999999999</v>
      </c>
      <c r="O35" s="33">
        <f t="shared" si="11"/>
        <v>4.9947699999999999</v>
      </c>
      <c r="P35" s="33">
        <f t="shared" si="11"/>
        <v>2.9177610000000005</v>
      </c>
      <c r="Q35" s="33">
        <f t="shared" si="11"/>
        <v>2.9177610000000005</v>
      </c>
      <c r="R35" s="33">
        <f t="shared" si="11"/>
        <v>2.9177610000000005</v>
      </c>
      <c r="S35" s="33">
        <f t="shared" si="11"/>
        <v>2.9177610000000005</v>
      </c>
      <c r="T35" s="33">
        <f t="shared" si="11"/>
        <v>2.9177610000000005</v>
      </c>
      <c r="U35" s="33">
        <f t="shared" si="11"/>
        <v>2.9177610000000005</v>
      </c>
      <c r="V35" s="33">
        <f t="shared" si="11"/>
        <v>2.9177610000000005</v>
      </c>
      <c r="W35" s="33">
        <f t="shared" si="11"/>
        <v>2.9177610000000005</v>
      </c>
      <c r="X35" s="33">
        <f t="shared" si="11"/>
        <v>2.9177610000000005</v>
      </c>
      <c r="Y35" s="33">
        <f t="shared" si="11"/>
        <v>2.9177610000000005</v>
      </c>
      <c r="Z35" s="33">
        <f t="shared" si="11"/>
        <v>2.9177610000000005</v>
      </c>
      <c r="AA35" s="33">
        <f t="shared" si="11"/>
        <v>2.9177610000000005</v>
      </c>
      <c r="AB35" s="33">
        <f t="shared" si="11"/>
        <v>2.9177610000000005</v>
      </c>
      <c r="AC35" s="33">
        <f t="shared" si="11"/>
        <v>2.9177610000000005</v>
      </c>
      <c r="AD35" s="33">
        <f t="shared" si="11"/>
        <v>2.9177610000000005</v>
      </c>
      <c r="AE35" s="33">
        <f t="shared" si="11"/>
        <v>2.9177610000000005</v>
      </c>
      <c r="AF35" s="33">
        <f t="shared" si="11"/>
        <v>2.9177610000000005</v>
      </c>
      <c r="AG35" s="33">
        <f t="shared" si="11"/>
        <v>2.9177610000000005</v>
      </c>
      <c r="AH35" s="33">
        <f t="shared" si="11"/>
        <v>2.9177610000000005</v>
      </c>
      <c r="AI35" s="11">
        <f t="shared" si="11"/>
        <v>2.9177610000000005</v>
      </c>
    </row>
    <row r="36" spans="1:35" s="55" customFormat="1" hidden="1">
      <c r="A36" s="52"/>
      <c r="B36" s="52"/>
      <c r="C36" s="53"/>
      <c r="D36" s="53"/>
      <c r="E36" s="54"/>
      <c r="F36" s="54">
        <f>IF(F8&lt;='Pre-conditions'!$B$5+$C10-1,F35,0)</f>
        <v>0</v>
      </c>
      <c r="G36" s="54">
        <f>IF(G8&lt;='Pre-conditions'!$B$5+$C10-1,G35,0)</f>
        <v>0</v>
      </c>
      <c r="H36" s="54">
        <f>IF(H8&lt;='Pre-conditions'!$B$5+$C10-1,H35,0)</f>
        <v>0</v>
      </c>
      <c r="I36" s="54">
        <f>IF(I8&lt;='Pre-conditions'!$B$5+$C10-1,I35,0)</f>
        <v>5.1350199999999999</v>
      </c>
      <c r="J36" s="54">
        <f>IF(J8&lt;='Pre-conditions'!$B$5+$C10-1,J35,0)</f>
        <v>4.9947699999999999</v>
      </c>
      <c r="K36" s="54">
        <f>IF(K8&lt;='Pre-conditions'!$B$5+$C10-1,K35,0)</f>
        <v>4.9947699999999999</v>
      </c>
      <c r="L36" s="54">
        <f>IF(L8&lt;='Pre-conditions'!$B$5+$C10-1,L35,0)</f>
        <v>4.9947699999999999</v>
      </c>
      <c r="M36" s="54">
        <f>IF(M8&lt;='Pre-conditions'!$B$5+$C10-1,M35,0)</f>
        <v>4.9947699999999999</v>
      </c>
      <c r="N36" s="54">
        <f>IF(N8&lt;='Pre-conditions'!$B$5+$C10-1,N35,0)</f>
        <v>4.9947699999999999</v>
      </c>
      <c r="O36" s="54">
        <f>IF(O8&lt;='Pre-conditions'!$B$5+$C10-1,O35,0)</f>
        <v>4.9947699999999999</v>
      </c>
      <c r="P36" s="54">
        <f>IF(P8&lt;='Pre-conditions'!$B$5+$C10-1,P35,0)</f>
        <v>2.9177610000000005</v>
      </c>
      <c r="Q36" s="54">
        <f>IF(Q8&lt;='Pre-conditions'!$B$5+$C10-1,Q35,0)</f>
        <v>2.9177610000000005</v>
      </c>
      <c r="R36" s="54">
        <f>IF(R8&lt;='Pre-conditions'!$B$5+$C10-1,R35,0)</f>
        <v>2.9177610000000005</v>
      </c>
      <c r="S36" s="54">
        <f>IF(S8&lt;='Pre-conditions'!$B$5+$C10-1,S35,0)</f>
        <v>2.9177610000000005</v>
      </c>
      <c r="T36" s="54">
        <f>IF(T8&lt;='Pre-conditions'!$B$5+$C10-1,T35,0)</f>
        <v>2.9177610000000005</v>
      </c>
      <c r="U36" s="54">
        <f>IF(U8&lt;='Pre-conditions'!$B$5+$C10-1,U35,0)</f>
        <v>2.9177610000000005</v>
      </c>
      <c r="V36" s="54">
        <f>IF(V8&lt;='Pre-conditions'!$B$5+$C10-1,V35,0)</f>
        <v>2.9177610000000005</v>
      </c>
      <c r="W36" s="54">
        <f>IF(W8&lt;='Pre-conditions'!$B$5+$C10-1,W35,0)</f>
        <v>2.9177610000000005</v>
      </c>
      <c r="X36" s="54">
        <f>IF(X8&lt;='Pre-conditions'!$B$5+$C10-1,X35,0)</f>
        <v>2.9177610000000005</v>
      </c>
      <c r="Y36" s="54">
        <f>IF(Y8&lt;='Pre-conditions'!$B$5+$C10-1,Y35,0)</f>
        <v>2.9177610000000005</v>
      </c>
      <c r="Z36" s="54">
        <f>IF(Z8&lt;='Pre-conditions'!$B$5+$C10-1,Z35,0)</f>
        <v>2.9177610000000005</v>
      </c>
      <c r="AA36" s="54">
        <f>IF(AA8&lt;='Pre-conditions'!$B$5+$C10-1,AA35,0)</f>
        <v>2.9177610000000005</v>
      </c>
      <c r="AB36" s="54">
        <f>IF(AB8&lt;='Pre-conditions'!$B$5+$C10-1,AB35,0)</f>
        <v>2.9177610000000005</v>
      </c>
      <c r="AC36" s="54">
        <f>IF(AC8&lt;='Pre-conditions'!$B$5+$C10-1,AC35,0)</f>
        <v>2.9177610000000005</v>
      </c>
      <c r="AD36" s="54">
        <f>IF(AD8&lt;='Pre-conditions'!$B$5+$C10-1,AD35,0)</f>
        <v>2.9177610000000005</v>
      </c>
      <c r="AE36" s="54">
        <f>IF(AE8&lt;='Pre-conditions'!$B$5+$C10-1,AE35,0)</f>
        <v>2.9177610000000005</v>
      </c>
      <c r="AF36" s="54">
        <f>IF(AF8&lt;='Pre-conditions'!$B$5+$C10-1,AF35,0)</f>
        <v>2.9177610000000005</v>
      </c>
      <c r="AG36" s="54">
        <f>IF(AG8&lt;='Pre-conditions'!$B$5+$C10-1,AG35,0)</f>
        <v>2.9177610000000005</v>
      </c>
      <c r="AH36" s="54">
        <f>IF(AH8&lt;='Pre-conditions'!$B$5+$C10-1,AH35,0)</f>
        <v>0</v>
      </c>
      <c r="AI36" s="54">
        <f>IF(AI8&lt;='Pre-conditions'!$B$5+$C10-1,AI35,0)</f>
        <v>0</v>
      </c>
    </row>
    <row r="37" spans="1:35">
      <c r="E37" s="2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>
      <c r="A38" s="26" t="s">
        <v>76</v>
      </c>
      <c r="B38" s="41"/>
      <c r="C38" s="60"/>
      <c r="D38" s="60"/>
      <c r="E38" s="41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>
      <c r="A39" s="12" t="s">
        <v>80</v>
      </c>
      <c r="B39" s="42" t="s">
        <v>21</v>
      </c>
      <c r="C39" s="61"/>
      <c r="D39" s="61"/>
      <c r="E39" s="46">
        <f t="shared" ref="E39:E40" si="12">SUM(F39:AI39)</f>
        <v>12.935635</v>
      </c>
      <c r="F39" s="34">
        <f>Financing!I89</f>
        <v>0</v>
      </c>
      <c r="G39" s="34">
        <f>Financing!J89</f>
        <v>0</v>
      </c>
      <c r="H39" s="34">
        <f>Financing!K89</f>
        <v>8.5600000000000009E-2</v>
      </c>
      <c r="I39" s="34">
        <f>Financing!L89</f>
        <v>1.9033850000000005</v>
      </c>
      <c r="J39" s="34">
        <f>Financing!M89</f>
        <v>1.0701999999999998</v>
      </c>
      <c r="K39" s="34">
        <f>Financing!N89</f>
        <v>1.0197000000000001</v>
      </c>
      <c r="L39" s="34">
        <f>Financing!O89</f>
        <v>0.96410000000000007</v>
      </c>
      <c r="M39" s="34">
        <f>Financing!P89</f>
        <v>0.90340000000000009</v>
      </c>
      <c r="N39" s="34">
        <f>Financing!Q89</f>
        <v>0.83845000000000003</v>
      </c>
      <c r="O39" s="34">
        <f>Financing!R89</f>
        <v>0.78880000000000006</v>
      </c>
      <c r="P39" s="34">
        <f>Financing!S89</f>
        <v>0.73740000000000006</v>
      </c>
      <c r="Q39" s="34">
        <f>Financing!T89</f>
        <v>0.69540000000000002</v>
      </c>
      <c r="R39" s="34">
        <f>Financing!U89</f>
        <v>0.64900000000000002</v>
      </c>
      <c r="S39" s="34">
        <f>Financing!V89</f>
        <v>0.59920000000000007</v>
      </c>
      <c r="T39" s="34">
        <f>Financing!W89</f>
        <v>0.54499999999999993</v>
      </c>
      <c r="U39" s="34">
        <f>Financing!X89</f>
        <v>0.48560000000000003</v>
      </c>
      <c r="V39" s="34">
        <f>Financing!Y89</f>
        <v>0.42100000000000004</v>
      </c>
      <c r="W39" s="34">
        <f>Financing!Z89</f>
        <v>0.35120000000000001</v>
      </c>
      <c r="X39" s="34">
        <f>Financing!AA89</f>
        <v>0.27520000000000006</v>
      </c>
      <c r="Y39" s="34">
        <f>Financing!AB89</f>
        <v>0.19400000000000001</v>
      </c>
      <c r="Z39" s="34">
        <f>Financing!AC89</f>
        <v>0.16100000000000003</v>
      </c>
      <c r="AA39" s="34">
        <f>Financing!AD89</f>
        <v>0.124</v>
      </c>
      <c r="AB39" s="34">
        <f>Financing!AE89</f>
        <v>8.4000000000000005E-2</v>
      </c>
      <c r="AC39" s="34">
        <f>Financing!AF89</f>
        <v>4.0000000000000008E-2</v>
      </c>
      <c r="AD39" s="34">
        <f>Financing!AG89</f>
        <v>0</v>
      </c>
      <c r="AE39" s="34">
        <f>Financing!AH89</f>
        <v>0</v>
      </c>
      <c r="AF39" s="34">
        <f>Financing!AI89</f>
        <v>0</v>
      </c>
      <c r="AG39" s="34">
        <f>Financing!AJ89</f>
        <v>0</v>
      </c>
      <c r="AH39" s="34">
        <f>Financing!AK89</f>
        <v>0</v>
      </c>
      <c r="AI39" s="35">
        <f>Financing!AL89</f>
        <v>0</v>
      </c>
    </row>
    <row r="40" spans="1:35">
      <c r="A40" s="12" t="s">
        <v>81</v>
      </c>
      <c r="B40" s="42" t="s">
        <v>21</v>
      </c>
      <c r="C40" s="61"/>
      <c r="D40" s="61"/>
      <c r="E40" s="46">
        <f t="shared" si="12"/>
        <v>12.93</v>
      </c>
      <c r="F40" s="34">
        <f>Financing!I90</f>
        <v>0</v>
      </c>
      <c r="G40" s="34">
        <f>Financing!J90</f>
        <v>0</v>
      </c>
      <c r="H40" s="34">
        <f>Financing!K90</f>
        <v>0.1</v>
      </c>
      <c r="I40" s="34">
        <f>Financing!L90</f>
        <v>0.28000000000000003</v>
      </c>
      <c r="J40" s="34">
        <f>Financing!M90</f>
        <v>0.6</v>
      </c>
      <c r="K40" s="34">
        <f>Financing!N90</f>
        <v>0.66</v>
      </c>
      <c r="L40" s="34">
        <f>Financing!O90</f>
        <v>0.72</v>
      </c>
      <c r="M40" s="34">
        <f>Financing!P90</f>
        <v>0.77</v>
      </c>
      <c r="N40" s="34">
        <f>Financing!Q90</f>
        <v>0.83</v>
      </c>
      <c r="O40" s="34">
        <f>Financing!R90</f>
        <v>0.62</v>
      </c>
      <c r="P40" s="34">
        <f>Financing!S90</f>
        <v>0.49</v>
      </c>
      <c r="Q40" s="34">
        <f>Financing!T90</f>
        <v>0.54</v>
      </c>
      <c r="R40" s="34">
        <f>Financing!U90</f>
        <v>0.57999999999999996</v>
      </c>
      <c r="S40" s="34">
        <f>Financing!V90</f>
        <v>0.63</v>
      </c>
      <c r="T40" s="34">
        <f>Financing!W90</f>
        <v>0.69</v>
      </c>
      <c r="U40" s="34">
        <f>Financing!X90</f>
        <v>0.75</v>
      </c>
      <c r="V40" s="34">
        <f>Financing!Y90</f>
        <v>0.81</v>
      </c>
      <c r="W40" s="34">
        <f>Financing!Z90</f>
        <v>0.88</v>
      </c>
      <c r="X40" s="34">
        <f>Financing!AA90</f>
        <v>0.95</v>
      </c>
      <c r="Y40" s="34">
        <f>Financing!AB90</f>
        <v>0.33</v>
      </c>
      <c r="Z40" s="34">
        <f>Financing!AC90</f>
        <v>0.37</v>
      </c>
      <c r="AA40" s="34">
        <f>Financing!AD90</f>
        <v>0.4</v>
      </c>
      <c r="AB40" s="34">
        <f>Financing!AE90</f>
        <v>0.44</v>
      </c>
      <c r="AC40" s="34">
        <f>Financing!AF90</f>
        <v>0.49</v>
      </c>
      <c r="AD40" s="34">
        <f>Financing!AG90</f>
        <v>0</v>
      </c>
      <c r="AE40" s="34">
        <f>Financing!AH90</f>
        <v>0</v>
      </c>
      <c r="AF40" s="34">
        <f>Financing!AI90</f>
        <v>0</v>
      </c>
      <c r="AG40" s="34">
        <f>Financing!AJ90</f>
        <v>0</v>
      </c>
      <c r="AH40" s="34">
        <f>Financing!AK90</f>
        <v>0</v>
      </c>
      <c r="AI40" s="35">
        <f>Financing!AL90</f>
        <v>0</v>
      </c>
    </row>
    <row r="41" spans="1:35">
      <c r="A41" s="12" t="s">
        <v>71</v>
      </c>
      <c r="B41" s="42" t="s">
        <v>21</v>
      </c>
      <c r="C41" s="61"/>
      <c r="D41" s="61"/>
      <c r="E41" s="46">
        <f>SUM(F41:AI41)</f>
        <v>12.749999999999996</v>
      </c>
      <c r="F41" s="29">
        <f>IF('Pre-conditions'!$B$5&gt;Income!F8,0,IF('Pre-conditions'!$B$5+'Pre-conditions'!$B$10&gt;F8,'Investment budget'!$I$40/'Pre-conditions'!$B$10,0))</f>
        <v>0</v>
      </c>
      <c r="G41" s="29">
        <f>IF('Pre-conditions'!$B$5&gt;Income!G8,0,IF('Pre-conditions'!$B$5+'Pre-conditions'!$B$10&gt;G8,'Investment budget'!$I$40/'Pre-conditions'!$B$10,0))</f>
        <v>0</v>
      </c>
      <c r="H41" s="29">
        <f>IF('Pre-conditions'!$B$5&gt;Income!H8,0,IF('Pre-conditions'!$B$5+'Pre-conditions'!$B$10&gt;H8,'Investment budget'!$I$40/'Pre-conditions'!$B$10,0))</f>
        <v>0</v>
      </c>
      <c r="I41" s="29">
        <f>IF('Pre-conditions'!$B$5&gt;Income!I8,0,IF('Pre-conditions'!$B$5+'Pre-conditions'!$B$10&gt;I8,'Investment budget'!$I$40/'Pre-conditions'!$B$10,0))</f>
        <v>0.51</v>
      </c>
      <c r="J41" s="29">
        <f>IF('Pre-conditions'!$B$5&gt;Income!J8,0,IF('Pre-conditions'!$B$5+'Pre-conditions'!$B$10&gt;J8,'Investment budget'!$I$40/'Pre-conditions'!$B$10,0))</f>
        <v>0.51</v>
      </c>
      <c r="K41" s="29">
        <f>IF('Pre-conditions'!$B$5&gt;Income!K8,0,IF('Pre-conditions'!$B$5+'Pre-conditions'!$B$10&gt;K8,'Investment budget'!$I$40/'Pre-conditions'!$B$10,0))</f>
        <v>0.51</v>
      </c>
      <c r="L41" s="29">
        <f>IF('Pre-conditions'!$B$5&gt;Income!L8,0,IF('Pre-conditions'!$B$5+'Pre-conditions'!$B$10&gt;L8,'Investment budget'!$I$40/'Pre-conditions'!$B$10,0))</f>
        <v>0.51</v>
      </c>
      <c r="M41" s="29">
        <f>IF('Pre-conditions'!$B$5&gt;Income!M8,0,IF('Pre-conditions'!$B$5+'Pre-conditions'!$B$10&gt;M8,'Investment budget'!$I$40/'Pre-conditions'!$B$10,0))</f>
        <v>0.51</v>
      </c>
      <c r="N41" s="29">
        <f>IF('Pre-conditions'!$B$5&gt;Income!N8,0,IF('Pre-conditions'!$B$5+'Pre-conditions'!$B$10&gt;N8,'Investment budget'!$I$40/'Pre-conditions'!$B$10,0))</f>
        <v>0.51</v>
      </c>
      <c r="O41" s="29">
        <f>IF('Pre-conditions'!$B$5&gt;Income!O8,0,IF('Pre-conditions'!$B$5+'Pre-conditions'!$B$10&gt;O8,'Investment budget'!$I$40/'Pre-conditions'!$B$10,0))</f>
        <v>0.51</v>
      </c>
      <c r="P41" s="29">
        <f>IF('Pre-conditions'!$B$5&gt;Income!P8,0,IF('Pre-conditions'!$B$5+'Pre-conditions'!$B$10&gt;P8,'Investment budget'!$I$40/'Pre-conditions'!$B$10,0))</f>
        <v>0.51</v>
      </c>
      <c r="Q41" s="29">
        <f>IF('Pre-conditions'!$B$5&gt;Income!Q8,0,IF('Pre-conditions'!$B$5+'Pre-conditions'!$B$10&gt;Q8,'Investment budget'!$I$40/'Pre-conditions'!$B$10,0))</f>
        <v>0.51</v>
      </c>
      <c r="R41" s="29">
        <f>IF('Pre-conditions'!$B$5&gt;Income!R8,0,IF('Pre-conditions'!$B$5+'Pre-conditions'!$B$10&gt;R8,'Investment budget'!$I$40/'Pre-conditions'!$B$10,0))</f>
        <v>0.51</v>
      </c>
      <c r="S41" s="29">
        <f>IF('Pre-conditions'!$B$5&gt;Income!S8,0,IF('Pre-conditions'!$B$5+'Pre-conditions'!$B$10&gt;S8,'Investment budget'!$I$40/'Pre-conditions'!$B$10,0))</f>
        <v>0.51</v>
      </c>
      <c r="T41" s="29">
        <f>IF('Pre-conditions'!$B$5&gt;Income!T8,0,IF('Pre-conditions'!$B$5+'Pre-conditions'!$B$10&gt;T8,'Investment budget'!$I$40/'Pre-conditions'!$B$10,0))</f>
        <v>0.51</v>
      </c>
      <c r="U41" s="29">
        <f>IF('Pre-conditions'!$B$5&gt;Income!U8,0,IF('Pre-conditions'!$B$5+'Pre-conditions'!$B$10&gt;U8,'Investment budget'!$I$40/'Pre-conditions'!$B$10,0))</f>
        <v>0.51</v>
      </c>
      <c r="V41" s="29">
        <f>IF('Pre-conditions'!$B$5&gt;Income!V8,0,IF('Pre-conditions'!$B$5+'Pre-conditions'!$B$10&gt;V8,'Investment budget'!$I$40/'Pre-conditions'!$B$10,0))</f>
        <v>0.51</v>
      </c>
      <c r="W41" s="29">
        <f>IF('Pre-conditions'!$B$5&gt;Income!W8,0,IF('Pre-conditions'!$B$5+'Pre-conditions'!$B$10&gt;W8,'Investment budget'!$I$40/'Pre-conditions'!$B$10,0))</f>
        <v>0.51</v>
      </c>
      <c r="X41" s="29">
        <f>IF('Pre-conditions'!$B$5&gt;Income!X8,0,IF('Pre-conditions'!$B$5+'Pre-conditions'!$B$10&gt;X8,'Investment budget'!$I$40/'Pre-conditions'!$B$10,0))</f>
        <v>0.51</v>
      </c>
      <c r="Y41" s="29">
        <f>IF('Pre-conditions'!$B$5&gt;Income!Y8,0,IF('Pre-conditions'!$B$5+'Pre-conditions'!$B$10&gt;Y8,'Investment budget'!$I$40/'Pre-conditions'!$B$10,0))</f>
        <v>0.51</v>
      </c>
      <c r="Z41" s="29">
        <f>IF('Pre-conditions'!$B$5&gt;Income!Z8,0,IF('Pre-conditions'!$B$5+'Pre-conditions'!$B$10&gt;Z8,'Investment budget'!$I$40/'Pre-conditions'!$B$10,0))</f>
        <v>0.51</v>
      </c>
      <c r="AA41" s="29">
        <f>IF('Pre-conditions'!$B$5&gt;Income!AA8,0,IF('Pre-conditions'!$B$5+'Pre-conditions'!$B$10&gt;AA8,'Investment budget'!$I$40/'Pre-conditions'!$B$10,0))</f>
        <v>0.51</v>
      </c>
      <c r="AB41" s="29">
        <f>IF('Pre-conditions'!$B$5&gt;Income!AB8,0,IF('Pre-conditions'!$B$5+'Pre-conditions'!$B$10&gt;AB8,'Investment budget'!$I$40/'Pre-conditions'!$B$10,0))</f>
        <v>0.51</v>
      </c>
      <c r="AC41" s="29">
        <f>IF('Pre-conditions'!$B$5&gt;Income!AC8,0,IF('Pre-conditions'!$B$5+'Pre-conditions'!$B$10&gt;AC8,'Investment budget'!$I$40/'Pre-conditions'!$B$10,0))</f>
        <v>0.51</v>
      </c>
      <c r="AD41" s="29">
        <f>IF('Pre-conditions'!$B$5&gt;Income!AD8,0,IF('Pre-conditions'!$B$5+'Pre-conditions'!$B$10&gt;AD8,'Investment budget'!$I$40/'Pre-conditions'!$B$10,0))</f>
        <v>0.51</v>
      </c>
      <c r="AE41" s="29">
        <f>IF('Pre-conditions'!$B$5&gt;Income!AE8,0,IF('Pre-conditions'!$B$5+'Pre-conditions'!$B$10&gt;AE8,'Investment budget'!$I$40/'Pre-conditions'!$B$10,0))</f>
        <v>0.51</v>
      </c>
      <c r="AF41" s="29">
        <f>IF('Pre-conditions'!$B$5&gt;Income!AF8,0,IF('Pre-conditions'!$B$5+'Pre-conditions'!$B$10&gt;AF8,'Investment budget'!$I$40/'Pre-conditions'!$B$10,0))</f>
        <v>0.51</v>
      </c>
      <c r="AG41" s="29">
        <f>IF('Pre-conditions'!$B$5&gt;Income!AG8,0,IF('Pre-conditions'!$B$5+'Pre-conditions'!$B$10&gt;AG8,'Investment budget'!$I$40/'Pre-conditions'!$B$10,0))</f>
        <v>0.51</v>
      </c>
      <c r="AH41" s="29">
        <f>IF('Pre-conditions'!$B$5&gt;Income!AH8,0,IF('Pre-conditions'!$B$5+'Pre-conditions'!$B$10&gt;AH8,'Investment budget'!$I$40/'Pre-conditions'!$B$10,0))</f>
        <v>0</v>
      </c>
      <c r="AI41" s="16">
        <f>IF('Pre-conditions'!$B$5&gt;Income!AI8,0,IF('Pre-conditions'!$B$5+'Pre-conditions'!$B$10&gt;AI8,'Investment budget'!$I$40/'Pre-conditions'!$B$10,0))</f>
        <v>0</v>
      </c>
    </row>
    <row r="42" spans="1:35">
      <c r="A42" s="12" t="s">
        <v>69</v>
      </c>
      <c r="B42" s="42" t="s">
        <v>21</v>
      </c>
      <c r="C42" s="61"/>
      <c r="D42" s="61"/>
      <c r="E42" s="46">
        <f t="shared" ref="E42:E52" si="13">SUM(F42:AI42)</f>
        <v>5.5975946533171284</v>
      </c>
      <c r="F42" s="29">
        <f>'Pre-conditions'!F36+'Pre-conditions'!F37+'Pre-conditions'!F38+'Pre-conditions'!F39+'Pre-conditions'!F40+'Pre-conditions'!F41</f>
        <v>0.1275</v>
      </c>
      <c r="G42" s="29">
        <f>'Pre-conditions'!G36+'Pre-conditions'!G37+'Pre-conditions'!G38+'Pre-conditions'!G39+'Pre-conditions'!G40+'Pre-conditions'!G41</f>
        <v>0.13068749999999998</v>
      </c>
      <c r="H42" s="29">
        <f>'Pre-conditions'!H36+'Pre-conditions'!H37+'Pre-conditions'!H38+'Pre-conditions'!H39+'Pre-conditions'!H40+'Pre-conditions'!H41</f>
        <v>0.13395468749999997</v>
      </c>
      <c r="I42" s="29">
        <f>'Pre-conditions'!I36+'Pre-conditions'!I37+'Pre-conditions'!I38+'Pre-conditions'!I39+'Pre-conditions'!I40+'Pre-conditions'!I41</f>
        <v>0.13730355468749997</v>
      </c>
      <c r="J42" s="29">
        <f>'Pre-conditions'!J36+'Pre-conditions'!J37+'Pre-conditions'!J38+'Pre-conditions'!J39+'Pre-conditions'!J40+'Pre-conditions'!J41</f>
        <v>0.14073614355468744</v>
      </c>
      <c r="K42" s="29">
        <f>'Pre-conditions'!K36+'Pre-conditions'!K37+'Pre-conditions'!K38+'Pre-conditions'!K39+'Pre-conditions'!K40+'Pre-conditions'!K41</f>
        <v>0.14425454714355462</v>
      </c>
      <c r="L42" s="29">
        <f>'Pre-conditions'!L36+'Pre-conditions'!L37+'Pre-conditions'!L38+'Pre-conditions'!L39+'Pre-conditions'!L40+'Pre-conditions'!L41</f>
        <v>0.14786091082214348</v>
      </c>
      <c r="M42" s="29">
        <f>'Pre-conditions'!M36+'Pre-conditions'!M37+'Pre-conditions'!M38+'Pre-conditions'!M39+'Pre-conditions'!M40+'Pre-conditions'!M41</f>
        <v>0.15155743359269705</v>
      </c>
      <c r="N42" s="29">
        <f>'Pre-conditions'!N36+'Pre-conditions'!N37+'Pre-conditions'!N38+'Pre-conditions'!N39+'Pre-conditions'!N40+'Pre-conditions'!N41</f>
        <v>0.15534636943251445</v>
      </c>
      <c r="O42" s="29">
        <f>'Pre-conditions'!O36+'Pre-conditions'!O37+'Pre-conditions'!O38+'Pre-conditions'!O39+'Pre-conditions'!O40+'Pre-conditions'!O41</f>
        <v>0.15923002866832731</v>
      </c>
      <c r="P42" s="29">
        <f>'Pre-conditions'!P36+'Pre-conditions'!P37+'Pre-conditions'!P38+'Pre-conditions'!P39+'Pre-conditions'!P40+'Pre-conditions'!P41</f>
        <v>0.16321077938503548</v>
      </c>
      <c r="Q42" s="29">
        <f>'Pre-conditions'!Q36+'Pre-conditions'!Q37+'Pre-conditions'!Q38+'Pre-conditions'!Q39+'Pre-conditions'!Q40+'Pre-conditions'!Q41</f>
        <v>0.16729104886966134</v>
      </c>
      <c r="R42" s="29">
        <f>'Pre-conditions'!R36+'Pre-conditions'!R37+'Pre-conditions'!R38+'Pre-conditions'!R39+'Pre-conditions'!R40+'Pre-conditions'!R41</f>
        <v>0.17147332509140287</v>
      </c>
      <c r="S42" s="29">
        <f>'Pre-conditions'!S36+'Pre-conditions'!S37+'Pre-conditions'!S38+'Pre-conditions'!S39+'Pre-conditions'!S40+'Pre-conditions'!S41</f>
        <v>0.17576015821868793</v>
      </c>
      <c r="T42" s="29">
        <f>'Pre-conditions'!T36+'Pre-conditions'!T37+'Pre-conditions'!T38+'Pre-conditions'!T39+'Pre-conditions'!T40+'Pre-conditions'!T41</f>
        <v>0.18015416217415511</v>
      </c>
      <c r="U42" s="29">
        <f>'Pre-conditions'!U36+'Pre-conditions'!U37+'Pre-conditions'!U38+'Pre-conditions'!U39+'Pre-conditions'!U40+'Pre-conditions'!U41</f>
        <v>0.18465801622850897</v>
      </c>
      <c r="V42" s="29">
        <f>'Pre-conditions'!V36+'Pre-conditions'!V37+'Pre-conditions'!V38+'Pre-conditions'!V39+'Pre-conditions'!V40+'Pre-conditions'!V41</f>
        <v>0.18927446663422168</v>
      </c>
      <c r="W42" s="29">
        <f>'Pre-conditions'!W36+'Pre-conditions'!W37+'Pre-conditions'!W38+'Pre-conditions'!W39+'Pre-conditions'!W40+'Pre-conditions'!W41</f>
        <v>0.19400632830007719</v>
      </c>
      <c r="X42" s="29">
        <f>'Pre-conditions'!X36+'Pre-conditions'!X37+'Pre-conditions'!X38+'Pre-conditions'!X39+'Pre-conditions'!X40+'Pre-conditions'!X41</f>
        <v>0.19885648650757912</v>
      </c>
      <c r="Y42" s="29">
        <f>'Pre-conditions'!Y36+'Pre-conditions'!Y37+'Pre-conditions'!Y38+'Pre-conditions'!Y39+'Pre-conditions'!Y40+'Pre-conditions'!Y41</f>
        <v>0.20382789867026857</v>
      </c>
      <c r="Z42" s="29">
        <f>'Pre-conditions'!Z36+'Pre-conditions'!Z37+'Pre-conditions'!Z38+'Pre-conditions'!Z39+'Pre-conditions'!Z40+'Pre-conditions'!Z41</f>
        <v>0.20892359613702527</v>
      </c>
      <c r="AA42" s="29">
        <f>'Pre-conditions'!AA36+'Pre-conditions'!AA37+'Pre-conditions'!AA38+'Pre-conditions'!AA39+'Pre-conditions'!AA40+'Pre-conditions'!AA41</f>
        <v>0.2141466860404509</v>
      </c>
      <c r="AB42" s="29">
        <f>'Pre-conditions'!AB36+'Pre-conditions'!AB37+'Pre-conditions'!AB38+'Pre-conditions'!AB39+'Pre-conditions'!AB40+'Pre-conditions'!AB41</f>
        <v>0.21950035319146216</v>
      </c>
      <c r="AC42" s="29">
        <f>'Pre-conditions'!AC36+'Pre-conditions'!AC37+'Pre-conditions'!AC38+'Pre-conditions'!AC39+'Pre-conditions'!AC40+'Pre-conditions'!AC41</f>
        <v>0.22498786202124871</v>
      </c>
      <c r="AD42" s="29">
        <f>'Pre-conditions'!AD36+'Pre-conditions'!AD37+'Pre-conditions'!AD38+'Pre-conditions'!AD39+'Pre-conditions'!AD40+'Pre-conditions'!AD41</f>
        <v>0.2306125585717799</v>
      </c>
      <c r="AE42" s="29">
        <f>'Pre-conditions'!AE36+'Pre-conditions'!AE37+'Pre-conditions'!AE38+'Pre-conditions'!AE39+'Pre-conditions'!AE40+'Pre-conditions'!AE41</f>
        <v>0.23637787253607437</v>
      </c>
      <c r="AF42" s="29">
        <f>'Pre-conditions'!AF36+'Pre-conditions'!AF37+'Pre-conditions'!AF38+'Pre-conditions'!AF39+'Pre-conditions'!AF40+'Pre-conditions'!AF41</f>
        <v>0.2422873193494762</v>
      </c>
      <c r="AG42" s="29">
        <f>'Pre-conditions'!AG36+'Pre-conditions'!AG37+'Pre-conditions'!AG38+'Pre-conditions'!AG39+'Pre-conditions'!AG40+'Pre-conditions'!AG41</f>
        <v>0.24834450233321309</v>
      </c>
      <c r="AH42" s="29">
        <f>'Pre-conditions'!AH36+'Pre-conditions'!AH37+'Pre-conditions'!AH38+'Pre-conditions'!AH39+'Pre-conditions'!AH40+'Pre-conditions'!AH41</f>
        <v>0.25455311489154342</v>
      </c>
      <c r="AI42" s="29">
        <f>'Pre-conditions'!AI36+'Pre-conditions'!AI37+'Pre-conditions'!AI38+'Pre-conditions'!AI39+'Pre-conditions'!AI40+'Pre-conditions'!AI41</f>
        <v>0.26091694276383198</v>
      </c>
    </row>
    <row r="43" spans="1:35">
      <c r="A43" s="12" t="s">
        <v>109</v>
      </c>
      <c r="B43" s="42" t="s">
        <v>21</v>
      </c>
      <c r="C43" s="61"/>
      <c r="D43" s="61"/>
      <c r="E43" s="46">
        <f t="shared" si="13"/>
        <v>12.084450233321348</v>
      </c>
      <c r="F43" s="29">
        <f>'Pre-conditions'!F29+'Pre-conditions'!F30+'Pre-conditions'!F31+'Pre-conditions'!F32+'Pre-conditions'!F33+'Pre-conditions'!F34</f>
        <v>0</v>
      </c>
      <c r="G43" s="29">
        <f>'Pre-conditions'!G29+'Pre-conditions'!G30+'Pre-conditions'!G31+'Pre-conditions'!G32+'Pre-conditions'!G33+'Pre-conditions'!G34</f>
        <v>0</v>
      </c>
      <c r="H43" s="29">
        <f>'Pre-conditions'!H29+'Pre-conditions'!H30+'Pre-conditions'!H31+'Pre-conditions'!H32+'Pre-conditions'!H33+'Pre-conditions'!H34</f>
        <v>0</v>
      </c>
      <c r="I43" s="29">
        <f>'Pre-conditions'!I29+'Pre-conditions'!I30+'Pre-conditions'!I31+'Pre-conditions'!I32+'Pre-conditions'!I33+'Pre-conditions'!I34</f>
        <v>0.31875000000000003</v>
      </c>
      <c r="J43" s="29">
        <f>'Pre-conditions'!J29+'Pre-conditions'!J30+'Pre-conditions'!J31+'Pre-conditions'!J32+'Pre-conditions'!J33+'Pre-conditions'!J34</f>
        <v>0.32671875</v>
      </c>
      <c r="K43" s="29">
        <f>'Pre-conditions'!K29+'Pre-conditions'!K30+'Pre-conditions'!K31+'Pre-conditions'!K32+'Pre-conditions'!K33+'Pre-conditions'!K34</f>
        <v>0.33488671874999998</v>
      </c>
      <c r="L43" s="29">
        <f>'Pre-conditions'!L29+'Pre-conditions'!L30+'Pre-conditions'!L31+'Pre-conditions'!L32+'Pre-conditions'!L33+'Pre-conditions'!L34</f>
        <v>0.34325888671874993</v>
      </c>
      <c r="M43" s="29">
        <f>'Pre-conditions'!M29+'Pre-conditions'!M30+'Pre-conditions'!M31+'Pre-conditions'!M32+'Pre-conditions'!M33+'Pre-conditions'!M34</f>
        <v>0.35184035888671866</v>
      </c>
      <c r="N43" s="29">
        <f>'Pre-conditions'!N29+'Pre-conditions'!N30+'Pre-conditions'!N31+'Pre-conditions'!N32+'Pre-conditions'!N33+'Pre-conditions'!N34</f>
        <v>0.36063636785888659</v>
      </c>
      <c r="O43" s="29">
        <f>'Pre-conditions'!O29+'Pre-conditions'!O30+'Pre-conditions'!O31+'Pre-conditions'!O32+'Pre-conditions'!O33+'Pre-conditions'!O34</f>
        <v>0.36965227705535869</v>
      </c>
      <c r="P43" s="29">
        <f>'Pre-conditions'!P29+'Pre-conditions'!P30+'Pre-conditions'!P31+'Pre-conditions'!P32+'Pre-conditions'!P33+'Pre-conditions'!P34</f>
        <v>0.37889358398174261</v>
      </c>
      <c r="Q43" s="29">
        <f>'Pre-conditions'!Q29+'Pre-conditions'!Q30+'Pre-conditions'!Q31+'Pre-conditions'!Q32+'Pre-conditions'!Q33+'Pre-conditions'!Q34</f>
        <v>0.38836592358128613</v>
      </c>
      <c r="R43" s="29">
        <f>'Pre-conditions'!R29+'Pre-conditions'!R30+'Pre-conditions'!R31+'Pre-conditions'!R32+'Pre-conditions'!R33+'Pre-conditions'!R34</f>
        <v>0.39807507167081824</v>
      </c>
      <c r="S43" s="29">
        <f>'Pre-conditions'!S29+'Pre-conditions'!S30+'Pre-conditions'!S31+'Pre-conditions'!S32+'Pre-conditions'!S33+'Pre-conditions'!S34</f>
        <v>0.40802694846258863</v>
      </c>
      <c r="T43" s="29">
        <f>'Pre-conditions'!T29+'Pre-conditions'!T30+'Pre-conditions'!T31+'Pre-conditions'!T32+'Pre-conditions'!T33+'Pre-conditions'!T34</f>
        <v>0.41822762217415332</v>
      </c>
      <c r="U43" s="29">
        <f>'Pre-conditions'!U29+'Pre-conditions'!U30+'Pre-conditions'!U31+'Pre-conditions'!U32+'Pre-conditions'!U33+'Pre-conditions'!U34</f>
        <v>0.42868331272850713</v>
      </c>
      <c r="V43" s="29">
        <f>'Pre-conditions'!V29+'Pre-conditions'!V30+'Pre-conditions'!V31+'Pre-conditions'!V32+'Pre-conditions'!V33+'Pre-conditions'!V34</f>
        <v>0.43940039554671978</v>
      </c>
      <c r="W43" s="29">
        <f>'Pre-conditions'!W29+'Pre-conditions'!W30+'Pre-conditions'!W31+'Pre-conditions'!W32+'Pre-conditions'!W33+'Pre-conditions'!W34</f>
        <v>0.45038540543538774</v>
      </c>
      <c r="X43" s="29">
        <f>'Pre-conditions'!X29+'Pre-conditions'!X30+'Pre-conditions'!X31+'Pre-conditions'!X32+'Pre-conditions'!X33+'Pre-conditions'!X34</f>
        <v>0.46164504057127237</v>
      </c>
      <c r="Y43" s="29">
        <f>'Pre-conditions'!Y29+'Pre-conditions'!Y30+'Pre-conditions'!Y31+'Pre-conditions'!Y32+'Pre-conditions'!Y33+'Pre-conditions'!Y34</f>
        <v>0.47318616658555412</v>
      </c>
      <c r="Z43" s="29">
        <f>'Pre-conditions'!Z29+'Pre-conditions'!Z30+'Pre-conditions'!Z31+'Pre-conditions'!Z32+'Pre-conditions'!Z33+'Pre-conditions'!Z34</f>
        <v>0.48501582075019295</v>
      </c>
      <c r="AA43" s="29">
        <f>'Pre-conditions'!AA29+'Pre-conditions'!AA30+'Pre-conditions'!AA31+'Pre-conditions'!AA32+'Pre-conditions'!AA33+'Pre-conditions'!AA34</f>
        <v>0.49714121626894775</v>
      </c>
      <c r="AB43" s="29">
        <f>'Pre-conditions'!AB29+'Pre-conditions'!AB30+'Pre-conditions'!AB31+'Pre-conditions'!AB32+'Pre-conditions'!AB33+'Pre-conditions'!AB34</f>
        <v>0.50956974667567145</v>
      </c>
      <c r="AC43" s="29">
        <f>'Pre-conditions'!AC29+'Pre-conditions'!AC30+'Pre-conditions'!AC31+'Pre-conditions'!AC32+'Pre-conditions'!AC33+'Pre-conditions'!AC34</f>
        <v>0.52230899034256317</v>
      </c>
      <c r="AD43" s="29">
        <f>'Pre-conditions'!AD29+'Pre-conditions'!AD30+'Pre-conditions'!AD31+'Pre-conditions'!AD32+'Pre-conditions'!AD33+'Pre-conditions'!AD34</f>
        <v>0.53536671510112721</v>
      </c>
      <c r="AE43" s="29">
        <f>'Pre-conditions'!AE29+'Pre-conditions'!AE30+'Pre-conditions'!AE31+'Pre-conditions'!AE32+'Pre-conditions'!AE33+'Pre-conditions'!AE34</f>
        <v>0.54875088297865537</v>
      </c>
      <c r="AF43" s="29">
        <f>'Pre-conditions'!AF29+'Pre-conditions'!AF30+'Pre-conditions'!AF31+'Pre-conditions'!AF32+'Pre-conditions'!AF33+'Pre-conditions'!AF34</f>
        <v>0.56246965505312174</v>
      </c>
      <c r="AG43" s="29">
        <f>'Pre-conditions'!AG29+'Pre-conditions'!AG30+'Pre-conditions'!AG31+'Pre-conditions'!AG32+'Pre-conditions'!AG33+'Pre-conditions'!AG34</f>
        <v>0.57653139642944973</v>
      </c>
      <c r="AH43" s="29">
        <f>'Pre-conditions'!AH29+'Pre-conditions'!AH30+'Pre-conditions'!AH31+'Pre-conditions'!AH32+'Pre-conditions'!AH33+'Pre-conditions'!AH34</f>
        <v>0.59094468134018596</v>
      </c>
      <c r="AI43" s="29">
        <f>'Pre-conditions'!AI29+'Pre-conditions'!AI30+'Pre-conditions'!AI31+'Pre-conditions'!AI32+'Pre-conditions'!AI33+'Pre-conditions'!AI34</f>
        <v>0.60571829837369051</v>
      </c>
    </row>
    <row r="44" spans="1:35">
      <c r="A44" s="12" t="s">
        <v>86</v>
      </c>
      <c r="B44" s="42" t="s">
        <v>21</v>
      </c>
      <c r="C44" s="61"/>
      <c r="D44" s="61"/>
      <c r="E44" s="46">
        <f t="shared" si="13"/>
        <v>0</v>
      </c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174"/>
    </row>
    <row r="45" spans="1:35">
      <c r="A45" s="12" t="s">
        <v>85</v>
      </c>
      <c r="B45" s="42" t="s">
        <v>21</v>
      </c>
      <c r="C45" s="61"/>
      <c r="D45" s="61"/>
      <c r="E45" s="46">
        <f t="shared" si="13"/>
        <v>0</v>
      </c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174"/>
    </row>
    <row r="46" spans="1:35">
      <c r="A46" s="12" t="s">
        <v>120</v>
      </c>
      <c r="B46" s="42" t="s">
        <v>21</v>
      </c>
      <c r="C46" s="61"/>
      <c r="D46" s="61"/>
      <c r="E46" s="46">
        <f t="shared" si="13"/>
        <v>0</v>
      </c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174"/>
    </row>
    <row r="47" spans="1:35">
      <c r="A47" s="12" t="s">
        <v>306</v>
      </c>
      <c r="B47" s="42" t="s">
        <v>21</v>
      </c>
      <c r="C47" s="61"/>
      <c r="D47" s="61"/>
      <c r="E47" s="46">
        <f t="shared" si="13"/>
        <v>0</v>
      </c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174"/>
    </row>
    <row r="48" spans="1:35">
      <c r="A48" s="12" t="s">
        <v>308</v>
      </c>
      <c r="B48" s="42" t="s">
        <v>21</v>
      </c>
      <c r="C48" s="61"/>
      <c r="D48" s="61"/>
      <c r="E48" s="46">
        <f t="shared" si="13"/>
        <v>0</v>
      </c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174"/>
    </row>
    <row r="49" spans="1:35">
      <c r="A49" s="12" t="s">
        <v>307</v>
      </c>
      <c r="B49" s="42" t="s">
        <v>21</v>
      </c>
      <c r="C49" s="61"/>
      <c r="D49" s="61"/>
      <c r="E49" s="46">
        <f t="shared" si="13"/>
        <v>0</v>
      </c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174"/>
    </row>
    <row r="50" spans="1:35">
      <c r="A50" s="542"/>
      <c r="B50" s="42" t="s">
        <v>21</v>
      </c>
      <c r="C50" s="61"/>
      <c r="D50" s="61"/>
      <c r="E50" s="46">
        <f t="shared" si="13"/>
        <v>0</v>
      </c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174"/>
    </row>
    <row r="51" spans="1:35">
      <c r="A51" s="542"/>
      <c r="B51" s="42" t="s">
        <v>21</v>
      </c>
      <c r="C51" s="61"/>
      <c r="D51" s="61"/>
      <c r="E51" s="46">
        <f t="shared" si="13"/>
        <v>0</v>
      </c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174"/>
    </row>
    <row r="52" spans="1:35">
      <c r="A52" s="543"/>
      <c r="B52" s="43" t="s">
        <v>21</v>
      </c>
      <c r="C52" s="62"/>
      <c r="D52" s="62"/>
      <c r="E52" s="47">
        <f t="shared" si="13"/>
        <v>0</v>
      </c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7"/>
      <c r="W52" s="347"/>
      <c r="X52" s="347"/>
      <c r="Y52" s="347"/>
      <c r="Z52" s="347"/>
      <c r="AA52" s="347"/>
      <c r="AB52" s="347"/>
      <c r="AC52" s="347"/>
      <c r="AD52" s="347"/>
      <c r="AE52" s="347"/>
      <c r="AF52" s="347"/>
      <c r="AG52" s="347"/>
      <c r="AH52" s="347"/>
      <c r="AI52" s="544"/>
    </row>
    <row r="53" spans="1:35">
      <c r="A53" s="32" t="s">
        <v>297</v>
      </c>
      <c r="B53" s="44" t="s">
        <v>21</v>
      </c>
      <c r="C53" s="50">
        <f>NPV('Pre-conditions'!$B$8,F54:AI54)</f>
        <v>25.7077091146841</v>
      </c>
      <c r="D53" s="50">
        <f>NPV('Pre-conditions'!$B$8,F53:AI53)</f>
        <v>26.014641405876077</v>
      </c>
      <c r="E53" s="48">
        <f t="shared" ref="E53:AI53" si="14">SUM(E39:E52)</f>
        <v>56.297679886638477</v>
      </c>
      <c r="F53" s="33">
        <f t="shared" si="14"/>
        <v>0.1275</v>
      </c>
      <c r="G53" s="33">
        <f t="shared" si="14"/>
        <v>0.13068749999999998</v>
      </c>
      <c r="H53" s="33">
        <f t="shared" si="14"/>
        <v>0.31955468749999999</v>
      </c>
      <c r="I53" s="33">
        <f t="shared" si="14"/>
        <v>3.1494385546875003</v>
      </c>
      <c r="J53" s="33">
        <f t="shared" si="14"/>
        <v>2.6476548935546877</v>
      </c>
      <c r="K53" s="33">
        <f t="shared" si="14"/>
        <v>2.6688412658935547</v>
      </c>
      <c r="L53" s="33">
        <f t="shared" si="14"/>
        <v>2.6852197975408933</v>
      </c>
      <c r="M53" s="33">
        <f t="shared" si="14"/>
        <v>2.6867977924794157</v>
      </c>
      <c r="N53" s="33">
        <f t="shared" si="14"/>
        <v>2.6944327372914008</v>
      </c>
      <c r="O53" s="33">
        <f t="shared" si="14"/>
        <v>2.4476823057236858</v>
      </c>
      <c r="P53" s="33">
        <f t="shared" si="14"/>
        <v>2.2795043633667782</v>
      </c>
      <c r="Q53" s="33">
        <f t="shared" si="14"/>
        <v>2.3010569724509473</v>
      </c>
      <c r="R53" s="33">
        <f t="shared" si="14"/>
        <v>2.3085483967622213</v>
      </c>
      <c r="S53" s="33">
        <f t="shared" si="14"/>
        <v>2.3229871066812766</v>
      </c>
      <c r="T53" s="33">
        <f t="shared" si="14"/>
        <v>2.3433817843483085</v>
      </c>
      <c r="U53" s="33">
        <f t="shared" si="14"/>
        <v>2.358941328957016</v>
      </c>
      <c r="V53" s="33">
        <f t="shared" si="14"/>
        <v>2.3696748621809416</v>
      </c>
      <c r="W53" s="33">
        <f t="shared" si="14"/>
        <v>2.3855917337354651</v>
      </c>
      <c r="X53" s="33">
        <f t="shared" si="14"/>
        <v>2.3957015270788515</v>
      </c>
      <c r="Y53" s="33">
        <f t="shared" si="14"/>
        <v>1.7110140652558228</v>
      </c>
      <c r="Z53" s="33">
        <f t="shared" si="14"/>
        <v>1.7349394168872181</v>
      </c>
      <c r="AA53" s="33">
        <f t="shared" si="14"/>
        <v>1.7452879023093986</v>
      </c>
      <c r="AB53" s="33">
        <f t="shared" si="14"/>
        <v>1.7630700998671336</v>
      </c>
      <c r="AC53" s="33">
        <f t="shared" si="14"/>
        <v>1.787296852363812</v>
      </c>
      <c r="AD53" s="33">
        <f t="shared" si="14"/>
        <v>1.275979273672907</v>
      </c>
      <c r="AE53" s="33">
        <f t="shared" si="14"/>
        <v>1.2951287555147297</v>
      </c>
      <c r="AF53" s="33">
        <f t="shared" si="14"/>
        <v>1.314756974402598</v>
      </c>
      <c r="AG53" s="33">
        <f t="shared" si="14"/>
        <v>1.3348758987626628</v>
      </c>
      <c r="AH53" s="33">
        <f t="shared" si="14"/>
        <v>0.84549779623172938</v>
      </c>
      <c r="AI53" s="11">
        <f t="shared" si="14"/>
        <v>0.86663524113752244</v>
      </c>
    </row>
    <row r="54" spans="1:35" hidden="1">
      <c r="A54" s="55"/>
      <c r="B54" s="55"/>
      <c r="C54" s="55"/>
      <c r="D54" s="55"/>
      <c r="E54" s="55"/>
      <c r="F54" s="54">
        <f>IF(F8&lt;='Pre-conditions'!$B$5+$C10-1,F53,0)</f>
        <v>0.1275</v>
      </c>
      <c r="G54" s="54">
        <f>IF(G8&lt;='Pre-conditions'!$B$5+$C10-1,G53,0)</f>
        <v>0.13068749999999998</v>
      </c>
      <c r="H54" s="54">
        <f>IF(H8&lt;='Pre-conditions'!$B$5+$C10-1,H53,0)</f>
        <v>0.31955468749999999</v>
      </c>
      <c r="I54" s="54">
        <f>IF(I8&lt;='Pre-conditions'!$B$5+$C10-1,I53,0)</f>
        <v>3.1494385546875003</v>
      </c>
      <c r="J54" s="54">
        <f>IF(J8&lt;='Pre-conditions'!$B$5+$C10-1,J53,0)</f>
        <v>2.6476548935546877</v>
      </c>
      <c r="K54" s="54">
        <f>IF(K8&lt;='Pre-conditions'!$B$5+$C10-1,K53,0)</f>
        <v>2.6688412658935547</v>
      </c>
      <c r="L54" s="54">
        <f>IF(L8&lt;='Pre-conditions'!$B$5+$C10-1,L53,0)</f>
        <v>2.6852197975408933</v>
      </c>
      <c r="M54" s="54">
        <f>IF(M8&lt;='Pre-conditions'!$B$5+$C10-1,M53,0)</f>
        <v>2.6867977924794157</v>
      </c>
      <c r="N54" s="54">
        <f>IF(N8&lt;='Pre-conditions'!$B$5+$C10-1,N53,0)</f>
        <v>2.6944327372914008</v>
      </c>
      <c r="O54" s="54">
        <f>IF(O8&lt;='Pre-conditions'!$B$5+$C10-1,O53,0)</f>
        <v>2.4476823057236858</v>
      </c>
      <c r="P54" s="54">
        <f>IF(P8&lt;='Pre-conditions'!$B$5+$C10-1,P53,0)</f>
        <v>2.2795043633667782</v>
      </c>
      <c r="Q54" s="54">
        <f>IF(Q8&lt;='Pre-conditions'!$B$5+$C10-1,Q53,0)</f>
        <v>2.3010569724509473</v>
      </c>
      <c r="R54" s="54">
        <f>IF(R8&lt;='Pre-conditions'!$B$5+$C10-1,R53,0)</f>
        <v>2.3085483967622213</v>
      </c>
      <c r="S54" s="54">
        <f>IF(S8&lt;='Pre-conditions'!$B$5+$C10-1,S53,0)</f>
        <v>2.3229871066812766</v>
      </c>
      <c r="T54" s="54">
        <f>IF(T8&lt;='Pre-conditions'!$B$5+$C10-1,T53,0)</f>
        <v>2.3433817843483085</v>
      </c>
      <c r="U54" s="54">
        <f>IF(U8&lt;='Pre-conditions'!$B$5+$C10-1,U53,0)</f>
        <v>2.358941328957016</v>
      </c>
      <c r="V54" s="54">
        <f>IF(V8&lt;='Pre-conditions'!$B$5+$C10-1,V53,0)</f>
        <v>2.3696748621809416</v>
      </c>
      <c r="W54" s="54">
        <f>IF(W8&lt;='Pre-conditions'!$B$5+$C10-1,W53,0)</f>
        <v>2.3855917337354651</v>
      </c>
      <c r="X54" s="54">
        <f>IF(X8&lt;='Pre-conditions'!$B$5+$C10-1,X53,0)</f>
        <v>2.3957015270788515</v>
      </c>
      <c r="Y54" s="54">
        <f>IF(Y8&lt;='Pre-conditions'!$B$5+$C10-1,Y53,0)</f>
        <v>1.7110140652558228</v>
      </c>
      <c r="Z54" s="54">
        <f>IF(Z8&lt;='Pre-conditions'!$B$5+$C10-1,Z53,0)</f>
        <v>1.7349394168872181</v>
      </c>
      <c r="AA54" s="54">
        <f>IF(AA8&lt;='Pre-conditions'!$B$5+$C10-1,AA53,0)</f>
        <v>1.7452879023093986</v>
      </c>
      <c r="AB54" s="54">
        <f>IF(AB8&lt;='Pre-conditions'!$B$5+$C10-1,AB53,0)</f>
        <v>1.7630700998671336</v>
      </c>
      <c r="AC54" s="54">
        <f>IF(AC8&lt;='Pre-conditions'!$B$5+$C10-1,AC53,0)</f>
        <v>1.787296852363812</v>
      </c>
      <c r="AD54" s="54">
        <f>IF(AD8&lt;='Pre-conditions'!$B$5+$C10-1,AD53,0)</f>
        <v>1.275979273672907</v>
      </c>
      <c r="AE54" s="54">
        <f>IF(AE8&lt;='Pre-conditions'!$B$5+$C10-1,AE53,0)</f>
        <v>1.2951287555147297</v>
      </c>
      <c r="AF54" s="54">
        <f>IF(AF8&lt;='Pre-conditions'!$B$5+$C10-1,AF53,0)</f>
        <v>1.314756974402598</v>
      </c>
      <c r="AG54" s="54">
        <f>IF(AG8&lt;='Pre-conditions'!$B$5+$C10-1,AG53,0)</f>
        <v>1.3348758987626628</v>
      </c>
      <c r="AH54" s="54">
        <f>IF(AH8&lt;='Pre-conditions'!$B$5+$C10-1,AH53,0)</f>
        <v>0</v>
      </c>
      <c r="AI54" s="54">
        <f>IF(AI8&lt;='Pre-conditions'!$B$5+$C10-1,AI53,0)</f>
        <v>0</v>
      </c>
    </row>
    <row r="56" spans="1:35">
      <c r="A56" s="22" t="s">
        <v>299</v>
      </c>
      <c r="B56" s="93" t="s">
        <v>21</v>
      </c>
      <c r="C56" s="65"/>
      <c r="D56" s="66">
        <f>NPV('Pre-conditions'!$B$8,F56:AI56)</f>
        <v>16.194824387553265</v>
      </c>
      <c r="E56" s="67">
        <f>SUM(F56:AI56)</f>
        <v>37.161180113361539</v>
      </c>
      <c r="F56" s="67">
        <f>F35-F53</f>
        <v>-0.1275</v>
      </c>
      <c r="G56" s="67">
        <f t="shared" ref="G56:AI56" si="15">G35-G53</f>
        <v>-0.13068749999999998</v>
      </c>
      <c r="H56" s="67">
        <f t="shared" si="15"/>
        <v>-0.31955468749999999</v>
      </c>
      <c r="I56" s="67">
        <f t="shared" si="15"/>
        <v>1.9855814453124996</v>
      </c>
      <c r="J56" s="67">
        <f t="shared" si="15"/>
        <v>2.3471151064453122</v>
      </c>
      <c r="K56" s="67">
        <f t="shared" si="15"/>
        <v>2.3259287341064452</v>
      </c>
      <c r="L56" s="67">
        <f t="shared" si="15"/>
        <v>2.3095502024591066</v>
      </c>
      <c r="M56" s="67">
        <f t="shared" si="15"/>
        <v>2.3079722075205842</v>
      </c>
      <c r="N56" s="67">
        <f t="shared" si="15"/>
        <v>2.3003372627085992</v>
      </c>
      <c r="O56" s="67">
        <f t="shared" si="15"/>
        <v>2.5470876942763141</v>
      </c>
      <c r="P56" s="67">
        <f t="shared" si="15"/>
        <v>0.6382566366332223</v>
      </c>
      <c r="Q56" s="67">
        <f t="shared" si="15"/>
        <v>0.61670402754905318</v>
      </c>
      <c r="R56" s="67">
        <f t="shared" si="15"/>
        <v>0.60921260323777915</v>
      </c>
      <c r="S56" s="67">
        <f t="shared" si="15"/>
        <v>0.59477389331872388</v>
      </c>
      <c r="T56" s="67">
        <f t="shared" si="15"/>
        <v>0.57437921565169203</v>
      </c>
      <c r="U56" s="67">
        <f t="shared" si="15"/>
        <v>0.55881967104298447</v>
      </c>
      <c r="V56" s="67">
        <f t="shared" si="15"/>
        <v>0.54808613781905891</v>
      </c>
      <c r="W56" s="67">
        <f t="shared" si="15"/>
        <v>0.53216926626453542</v>
      </c>
      <c r="X56" s="67">
        <f t="shared" si="15"/>
        <v>0.52205947292114896</v>
      </c>
      <c r="Y56" s="67">
        <f t="shared" si="15"/>
        <v>1.2067469347441777</v>
      </c>
      <c r="Z56" s="67">
        <f t="shared" si="15"/>
        <v>1.1828215831127824</v>
      </c>
      <c r="AA56" s="67">
        <f t="shared" si="15"/>
        <v>1.1724730976906019</v>
      </c>
      <c r="AB56" s="67">
        <f t="shared" si="15"/>
        <v>1.1546909001328669</v>
      </c>
      <c r="AC56" s="67">
        <f t="shared" si="15"/>
        <v>1.1304641476361885</v>
      </c>
      <c r="AD56" s="67">
        <f t="shared" si="15"/>
        <v>1.6417817263270935</v>
      </c>
      <c r="AE56" s="67">
        <f t="shared" si="15"/>
        <v>1.6226322444852708</v>
      </c>
      <c r="AF56" s="67">
        <f t="shared" si="15"/>
        <v>1.6030040255974025</v>
      </c>
      <c r="AG56" s="67">
        <f t="shared" si="15"/>
        <v>1.5828851012373377</v>
      </c>
      <c r="AH56" s="67">
        <f t="shared" si="15"/>
        <v>2.0722632037682711</v>
      </c>
      <c r="AI56" s="15">
        <f t="shared" si="15"/>
        <v>2.0511257588624781</v>
      </c>
    </row>
    <row r="57" spans="1:35">
      <c r="A57" s="13" t="s">
        <v>132</v>
      </c>
      <c r="B57" s="44" t="s">
        <v>21</v>
      </c>
      <c r="C57" s="68">
        <f>NPV('Pre-conditions'!$B$8,F57:AI57)</f>
        <v>15.455252474412795</v>
      </c>
      <c r="D57" s="69"/>
      <c r="E57" s="33">
        <f>SUM(F57:AI57)</f>
        <v>33.03779115073079</v>
      </c>
      <c r="F57" s="70">
        <f>IF(F8&lt;='Pre-conditions'!$B$5+$C10-1,F56,0)</f>
        <v>-0.1275</v>
      </c>
      <c r="G57" s="70">
        <f>IF(G8&lt;='Pre-conditions'!$B$5+$C10-1,G56,0)</f>
        <v>-0.13068749999999998</v>
      </c>
      <c r="H57" s="70">
        <f>IF(H8&lt;='Pre-conditions'!$B$5+$C10-1,H56,0)</f>
        <v>-0.31955468749999999</v>
      </c>
      <c r="I57" s="70">
        <f>IF(I8&lt;='Pre-conditions'!$B$5+$C10-1,I56,0)</f>
        <v>1.9855814453124996</v>
      </c>
      <c r="J57" s="70">
        <f>IF(J8&lt;='Pre-conditions'!$B$5+$C10-1,J56,0)</f>
        <v>2.3471151064453122</v>
      </c>
      <c r="K57" s="70">
        <f>IF(K8&lt;='Pre-conditions'!$B$5+$C10-1,K56,0)</f>
        <v>2.3259287341064452</v>
      </c>
      <c r="L57" s="70">
        <f>IF(L8&lt;='Pre-conditions'!$B$5+$C10-1,L56,0)</f>
        <v>2.3095502024591066</v>
      </c>
      <c r="M57" s="70">
        <f>IF(M8&lt;='Pre-conditions'!$B$5+$C10-1,M56,0)</f>
        <v>2.3079722075205842</v>
      </c>
      <c r="N57" s="70">
        <f>IF(N8&lt;='Pre-conditions'!$B$5+$C10-1,N56,0)</f>
        <v>2.3003372627085992</v>
      </c>
      <c r="O57" s="70">
        <f>IF(O8&lt;='Pre-conditions'!$B$5+$C10-1,O56,0)</f>
        <v>2.5470876942763141</v>
      </c>
      <c r="P57" s="70">
        <f>IF(P8&lt;='Pre-conditions'!$B$5+$C10-1,P56,0)</f>
        <v>0.6382566366332223</v>
      </c>
      <c r="Q57" s="70">
        <f>IF(Q8&lt;='Pre-conditions'!$B$5+$C10-1,Q56,0)</f>
        <v>0.61670402754905318</v>
      </c>
      <c r="R57" s="70">
        <f>IF(R8&lt;='Pre-conditions'!$B$5+$C10-1,R56,0)</f>
        <v>0.60921260323777915</v>
      </c>
      <c r="S57" s="70">
        <f>IF(S8&lt;='Pre-conditions'!$B$5+$C10-1,S56,0)</f>
        <v>0.59477389331872388</v>
      </c>
      <c r="T57" s="70">
        <f>IF(T8&lt;='Pre-conditions'!$B$5+$C10-1,T56,0)</f>
        <v>0.57437921565169203</v>
      </c>
      <c r="U57" s="70">
        <f>IF(U8&lt;='Pre-conditions'!$B$5+$C10-1,U56,0)</f>
        <v>0.55881967104298447</v>
      </c>
      <c r="V57" s="70">
        <f>IF(V8&lt;='Pre-conditions'!$B$5+$C10-1,V56,0)</f>
        <v>0.54808613781905891</v>
      </c>
      <c r="W57" s="70">
        <f>IF(W8&lt;='Pre-conditions'!$B$5+$C10-1,W56,0)</f>
        <v>0.53216926626453542</v>
      </c>
      <c r="X57" s="70">
        <f>IF(X8&lt;='Pre-conditions'!$B$5+$C10-1,X56,0)</f>
        <v>0.52205947292114896</v>
      </c>
      <c r="Y57" s="70">
        <f>IF(Y8&lt;='Pre-conditions'!$B$5+$C10-1,Y56,0)</f>
        <v>1.2067469347441777</v>
      </c>
      <c r="Z57" s="70">
        <f>IF(Z8&lt;='Pre-conditions'!$B$5+$C10-1,Z56,0)</f>
        <v>1.1828215831127824</v>
      </c>
      <c r="AA57" s="70">
        <f>IF(AA8&lt;='Pre-conditions'!$B$5+$C10-1,AA56,0)</f>
        <v>1.1724730976906019</v>
      </c>
      <c r="AB57" s="70">
        <f>IF(AB8&lt;='Pre-conditions'!$B$5+$C10-1,AB56,0)</f>
        <v>1.1546909001328669</v>
      </c>
      <c r="AC57" s="70">
        <f>IF(AC8&lt;='Pre-conditions'!$B$5+$C10-1,AC56,0)</f>
        <v>1.1304641476361885</v>
      </c>
      <c r="AD57" s="70">
        <f>IF(AD8&lt;='Pre-conditions'!$B$5+$C10-1,AD56,0)</f>
        <v>1.6417817263270935</v>
      </c>
      <c r="AE57" s="70">
        <f>IF(AE8&lt;='Pre-conditions'!$B$5+$C10-1,AE56,0)</f>
        <v>1.6226322444852708</v>
      </c>
      <c r="AF57" s="70">
        <f>IF(AF8&lt;='Pre-conditions'!$B$5+$C10-1,AF56,0)</f>
        <v>1.6030040255974025</v>
      </c>
      <c r="AG57" s="70">
        <f>IF(AG8&lt;='Pre-conditions'!$B$5+$C10-1,AG56,0)</f>
        <v>1.5828851012373377</v>
      </c>
      <c r="AH57" s="70">
        <f>IF(AH8&lt;='Pre-conditions'!$B$5+$C10-1,AH56,0)</f>
        <v>0</v>
      </c>
      <c r="AI57" s="71">
        <f>IF(AI8&lt;='Pre-conditions'!$B$5+$C10-1,AI56,0)</f>
        <v>0</v>
      </c>
    </row>
    <row r="58" spans="1:35">
      <c r="A58" s="78" t="s">
        <v>170</v>
      </c>
      <c r="B58" s="77" t="s">
        <v>21</v>
      </c>
      <c r="C58" s="76"/>
      <c r="D58" s="94"/>
      <c r="E58" s="33">
        <f>SUM(F58:AI58)</f>
        <v>49.911180113361539</v>
      </c>
      <c r="F58" s="95">
        <f>F56+F41</f>
        <v>-0.1275</v>
      </c>
      <c r="G58" s="95">
        <f t="shared" ref="G58:AI58" si="16">G56+G41</f>
        <v>-0.13068749999999998</v>
      </c>
      <c r="H58" s="95">
        <f t="shared" si="16"/>
        <v>-0.31955468749999999</v>
      </c>
      <c r="I58" s="95">
        <f t="shared" si="16"/>
        <v>2.4955814453124994</v>
      </c>
      <c r="J58" s="95">
        <f t="shared" si="16"/>
        <v>2.8571151064453124</v>
      </c>
      <c r="K58" s="95">
        <f t="shared" si="16"/>
        <v>2.835928734106445</v>
      </c>
      <c r="L58" s="95">
        <f t="shared" si="16"/>
        <v>2.8195502024591068</v>
      </c>
      <c r="M58" s="95">
        <f t="shared" si="16"/>
        <v>2.817972207520584</v>
      </c>
      <c r="N58" s="95">
        <f t="shared" si="16"/>
        <v>2.8103372627085994</v>
      </c>
      <c r="O58" s="95">
        <f t="shared" si="16"/>
        <v>3.0570876942763139</v>
      </c>
      <c r="P58" s="95">
        <f t="shared" si="16"/>
        <v>1.1482566366332223</v>
      </c>
      <c r="Q58" s="95">
        <f t="shared" si="16"/>
        <v>1.1267040275490532</v>
      </c>
      <c r="R58" s="95">
        <f t="shared" si="16"/>
        <v>1.1192126032377792</v>
      </c>
      <c r="S58" s="95">
        <f t="shared" si="16"/>
        <v>1.1047738933187239</v>
      </c>
      <c r="T58" s="95">
        <f t="shared" si="16"/>
        <v>1.084379215651692</v>
      </c>
      <c r="U58" s="95">
        <f t="shared" si="16"/>
        <v>1.0688196710429845</v>
      </c>
      <c r="V58" s="95">
        <f t="shared" si="16"/>
        <v>1.0580861378190589</v>
      </c>
      <c r="W58" s="95">
        <f t="shared" si="16"/>
        <v>1.0421692662645354</v>
      </c>
      <c r="X58" s="95">
        <f t="shared" si="16"/>
        <v>1.032059472921149</v>
      </c>
      <c r="Y58" s="95">
        <f t="shared" si="16"/>
        <v>1.7167469347441777</v>
      </c>
      <c r="Z58" s="95">
        <f t="shared" si="16"/>
        <v>1.6928215831127824</v>
      </c>
      <c r="AA58" s="95">
        <f t="shared" si="16"/>
        <v>1.6824730976906019</v>
      </c>
      <c r="AB58" s="95">
        <f t="shared" si="16"/>
        <v>1.6646909001328669</v>
      </c>
      <c r="AC58" s="95">
        <f t="shared" si="16"/>
        <v>1.6404641476361885</v>
      </c>
      <c r="AD58" s="95">
        <f t="shared" si="16"/>
        <v>2.1517817263270933</v>
      </c>
      <c r="AE58" s="95">
        <f t="shared" si="16"/>
        <v>2.1326322444852708</v>
      </c>
      <c r="AF58" s="95">
        <f t="shared" si="16"/>
        <v>2.1130040255974025</v>
      </c>
      <c r="AG58" s="95">
        <f t="shared" si="16"/>
        <v>2.0928851012373375</v>
      </c>
      <c r="AH58" s="95">
        <f t="shared" si="16"/>
        <v>2.0722632037682711</v>
      </c>
      <c r="AI58" s="96">
        <f t="shared" si="16"/>
        <v>2.0511257588624781</v>
      </c>
    </row>
    <row r="60" spans="1:35">
      <c r="A60" s="22" t="s">
        <v>173</v>
      </c>
      <c r="B60" s="41" t="s">
        <v>21</v>
      </c>
      <c r="C60" s="9"/>
      <c r="D60" s="9"/>
      <c r="E60" s="72">
        <f>SUM(F60:AI60)</f>
        <v>37.161180113361539</v>
      </c>
      <c r="F60" s="72">
        <f>F56</f>
        <v>-0.1275</v>
      </c>
      <c r="G60" s="72">
        <f t="shared" ref="G60:AI60" si="17">G56</f>
        <v>-0.13068749999999998</v>
      </c>
      <c r="H60" s="72">
        <f t="shared" si="17"/>
        <v>-0.31955468749999999</v>
      </c>
      <c r="I60" s="72">
        <f t="shared" si="17"/>
        <v>1.9855814453124996</v>
      </c>
      <c r="J60" s="72">
        <f t="shared" si="17"/>
        <v>2.3471151064453122</v>
      </c>
      <c r="K60" s="72">
        <f t="shared" si="17"/>
        <v>2.3259287341064452</v>
      </c>
      <c r="L60" s="72">
        <f t="shared" si="17"/>
        <v>2.3095502024591066</v>
      </c>
      <c r="M60" s="72">
        <f t="shared" si="17"/>
        <v>2.3079722075205842</v>
      </c>
      <c r="N60" s="72">
        <f t="shared" si="17"/>
        <v>2.3003372627085992</v>
      </c>
      <c r="O60" s="72">
        <f t="shared" si="17"/>
        <v>2.5470876942763141</v>
      </c>
      <c r="P60" s="72">
        <f t="shared" si="17"/>
        <v>0.6382566366332223</v>
      </c>
      <c r="Q60" s="72">
        <f t="shared" si="17"/>
        <v>0.61670402754905318</v>
      </c>
      <c r="R60" s="72">
        <f t="shared" si="17"/>
        <v>0.60921260323777915</v>
      </c>
      <c r="S60" s="72">
        <f t="shared" si="17"/>
        <v>0.59477389331872388</v>
      </c>
      <c r="T60" s="72">
        <f t="shared" si="17"/>
        <v>0.57437921565169203</v>
      </c>
      <c r="U60" s="72">
        <f t="shared" si="17"/>
        <v>0.55881967104298447</v>
      </c>
      <c r="V60" s="72">
        <f t="shared" si="17"/>
        <v>0.54808613781905891</v>
      </c>
      <c r="W60" s="72">
        <f t="shared" si="17"/>
        <v>0.53216926626453542</v>
      </c>
      <c r="X60" s="72">
        <f t="shared" si="17"/>
        <v>0.52205947292114896</v>
      </c>
      <c r="Y60" s="72">
        <f t="shared" si="17"/>
        <v>1.2067469347441777</v>
      </c>
      <c r="Z60" s="72">
        <f t="shared" si="17"/>
        <v>1.1828215831127824</v>
      </c>
      <c r="AA60" s="72">
        <f t="shared" si="17"/>
        <v>1.1724730976906019</v>
      </c>
      <c r="AB60" s="72">
        <f t="shared" si="17"/>
        <v>1.1546909001328669</v>
      </c>
      <c r="AC60" s="72">
        <f t="shared" si="17"/>
        <v>1.1304641476361885</v>
      </c>
      <c r="AD60" s="72">
        <f t="shared" si="17"/>
        <v>1.6417817263270935</v>
      </c>
      <c r="AE60" s="72">
        <f t="shared" si="17"/>
        <v>1.6226322444852708</v>
      </c>
      <c r="AF60" s="72">
        <f t="shared" si="17"/>
        <v>1.6030040255974025</v>
      </c>
      <c r="AG60" s="72">
        <f t="shared" si="17"/>
        <v>1.5828851012373377</v>
      </c>
      <c r="AH60" s="72">
        <f t="shared" si="17"/>
        <v>2.0722632037682711</v>
      </c>
      <c r="AI60" s="73">
        <f t="shared" si="17"/>
        <v>2.0511257588624781</v>
      </c>
    </row>
    <row r="61" spans="1:35">
      <c r="A61" s="12" t="s">
        <v>133</v>
      </c>
      <c r="B61" s="42" t="s">
        <v>21</v>
      </c>
      <c r="C61" s="3"/>
      <c r="D61" s="3"/>
      <c r="E61" s="29">
        <f t="shared" ref="E61:E63" si="18">SUM(F61:AI61)</f>
        <v>11.32167669025846</v>
      </c>
      <c r="F61" s="29">
        <f>IF(F60&lt;0,0,F60*'Pre-conditions'!$B12)</f>
        <v>0</v>
      </c>
      <c r="G61" s="29">
        <f>IF(G60&lt;0,0,G60*'Pre-conditions'!$B12)</f>
        <v>0</v>
      </c>
      <c r="H61" s="29">
        <f>IF(H60&lt;0,0,H60*'Pre-conditions'!$B12)</f>
        <v>0</v>
      </c>
      <c r="I61" s="29">
        <f>IF(I60&lt;0,0,I60*'Pre-conditions'!$B12)</f>
        <v>0.59567443359374983</v>
      </c>
      <c r="J61" s="29">
        <f>IF(J60&lt;0,0,J60*'Pre-conditions'!$B12)</f>
        <v>0.70413453193359365</v>
      </c>
      <c r="K61" s="29">
        <f>IF(K60&lt;0,0,K60*'Pre-conditions'!$B12)</f>
        <v>0.69777862023193349</v>
      </c>
      <c r="L61" s="29">
        <f>IF(L60&lt;0,0,L60*'Pre-conditions'!$B12)</f>
        <v>0.69286506073773191</v>
      </c>
      <c r="M61" s="29">
        <f>IF(M60&lt;0,0,M60*'Pre-conditions'!$B12)</f>
        <v>0.69239166225617521</v>
      </c>
      <c r="N61" s="29">
        <f>IF(N60&lt;0,0,N60*'Pre-conditions'!$B12)</f>
        <v>0.69010117881257971</v>
      </c>
      <c r="O61" s="29">
        <f>IF(O60&lt;0,0,O60*'Pre-conditions'!$B12)</f>
        <v>0.76412630828289418</v>
      </c>
      <c r="P61" s="29">
        <f>IF(P60&lt;0,0,P60*'Pre-conditions'!$B12)</f>
        <v>0.19147699098996668</v>
      </c>
      <c r="Q61" s="29">
        <f>IF(Q60&lt;0,0,Q60*'Pre-conditions'!$B12)</f>
        <v>0.18501120826471595</v>
      </c>
      <c r="R61" s="29">
        <f>IF(R60&lt;0,0,R60*'Pre-conditions'!$B12)</f>
        <v>0.18276378097133375</v>
      </c>
      <c r="S61" s="29">
        <f>IF(S60&lt;0,0,S60*'Pre-conditions'!$B12)</f>
        <v>0.17843216799561715</v>
      </c>
      <c r="T61" s="29">
        <f>IF(T60&lt;0,0,T60*'Pre-conditions'!$B12)</f>
        <v>0.1723137646955076</v>
      </c>
      <c r="U61" s="29">
        <f>IF(U60&lt;0,0,U60*'Pre-conditions'!$B12)</f>
        <v>0.16764590131289533</v>
      </c>
      <c r="V61" s="29">
        <f>IF(V60&lt;0,0,V60*'Pre-conditions'!$B12)</f>
        <v>0.16442584134571767</v>
      </c>
      <c r="W61" s="29">
        <f>IF(W60&lt;0,0,W60*'Pre-conditions'!$B12)</f>
        <v>0.15965077987936063</v>
      </c>
      <c r="X61" s="29">
        <f>IF(X60&lt;0,0,X60*'Pre-conditions'!$B12)</f>
        <v>0.15661784187634467</v>
      </c>
      <c r="Y61" s="29">
        <f>IF(Y60&lt;0,0,Y60*'Pre-conditions'!$B12)</f>
        <v>0.36202408042325329</v>
      </c>
      <c r="Z61" s="29">
        <f>IF(Z60&lt;0,0,Z60*'Pre-conditions'!$B12)</f>
        <v>0.3548464749338347</v>
      </c>
      <c r="AA61" s="29">
        <f>IF(AA60&lt;0,0,AA60*'Pre-conditions'!$B12)</f>
        <v>0.35174192930718057</v>
      </c>
      <c r="AB61" s="29">
        <f>IF(AB60&lt;0,0,AB60*'Pre-conditions'!$B12)</f>
        <v>0.34640727003986005</v>
      </c>
      <c r="AC61" s="29">
        <f>IF(AC60&lt;0,0,AC60*'Pre-conditions'!$B12)</f>
        <v>0.33913924429085657</v>
      </c>
      <c r="AD61" s="29">
        <f>IF(AD60&lt;0,0,AD60*'Pre-conditions'!$B12)</f>
        <v>0.49253451789812802</v>
      </c>
      <c r="AE61" s="29">
        <f>IF(AE60&lt;0,0,AE60*'Pre-conditions'!$B12)</f>
        <v>0.48678967334558121</v>
      </c>
      <c r="AF61" s="29">
        <f>IF(AF60&lt;0,0,AF60*'Pre-conditions'!$B12)</f>
        <v>0.48090120767922073</v>
      </c>
      <c r="AG61" s="29">
        <f>IF(AG60&lt;0,0,AG60*'Pre-conditions'!$B12)</f>
        <v>0.47486553037120127</v>
      </c>
      <c r="AH61" s="29">
        <f>IF(AH60&lt;0,0,AH60*'Pre-conditions'!$B12)</f>
        <v>0.62167896113048127</v>
      </c>
      <c r="AI61" s="16">
        <f>IF(AI60&lt;0,0,AI60*'Pre-conditions'!$B12)</f>
        <v>0.61533772765874339</v>
      </c>
    </row>
    <row r="62" spans="1:35">
      <c r="A62" s="78" t="s">
        <v>169</v>
      </c>
      <c r="B62" s="49" t="s">
        <v>21</v>
      </c>
      <c r="C62" s="79"/>
      <c r="D62" s="76">
        <f>NPV('Pre-conditions'!$B$8,F62:AI62)</f>
        <v>11.18490745941809</v>
      </c>
      <c r="E62" s="74">
        <f t="shared" si="18"/>
        <v>25.839503423103082</v>
      </c>
      <c r="F62" s="74">
        <f>F60-F61</f>
        <v>-0.1275</v>
      </c>
      <c r="G62" s="74">
        <f t="shared" ref="G62:AI62" si="19">G60-G61</f>
        <v>-0.13068749999999998</v>
      </c>
      <c r="H62" s="74">
        <f t="shared" si="19"/>
        <v>-0.31955468749999999</v>
      </c>
      <c r="I62" s="74">
        <f t="shared" si="19"/>
        <v>1.3899070117187498</v>
      </c>
      <c r="J62" s="74">
        <f t="shared" si="19"/>
        <v>1.6429805745117185</v>
      </c>
      <c r="K62" s="74">
        <f t="shared" si="19"/>
        <v>1.6281501138745118</v>
      </c>
      <c r="L62" s="74">
        <f t="shared" si="19"/>
        <v>1.6166851417213746</v>
      </c>
      <c r="M62" s="74">
        <f t="shared" si="19"/>
        <v>1.615580545264409</v>
      </c>
      <c r="N62" s="74">
        <f t="shared" si="19"/>
        <v>1.6102360838960195</v>
      </c>
      <c r="O62" s="74">
        <f t="shared" si="19"/>
        <v>1.7829613859934199</v>
      </c>
      <c r="P62" s="74">
        <f t="shared" si="19"/>
        <v>0.44677964564325562</v>
      </c>
      <c r="Q62" s="74">
        <f t="shared" si="19"/>
        <v>0.43169281928433723</v>
      </c>
      <c r="R62" s="74">
        <f t="shared" si="19"/>
        <v>0.42644882226644543</v>
      </c>
      <c r="S62" s="74">
        <f t="shared" si="19"/>
        <v>0.41634172532310676</v>
      </c>
      <c r="T62" s="74">
        <f t="shared" si="19"/>
        <v>0.4020654509561844</v>
      </c>
      <c r="U62" s="74">
        <f t="shared" si="19"/>
        <v>0.3911737697300891</v>
      </c>
      <c r="V62" s="74">
        <f t="shared" si="19"/>
        <v>0.38366029647334121</v>
      </c>
      <c r="W62" s="74">
        <f t="shared" si="19"/>
        <v>0.37251848638517482</v>
      </c>
      <c r="X62" s="74">
        <f t="shared" si="19"/>
        <v>0.36544163104480432</v>
      </c>
      <c r="Y62" s="74">
        <f t="shared" si="19"/>
        <v>0.84472285432092442</v>
      </c>
      <c r="Z62" s="74">
        <f t="shared" si="19"/>
        <v>0.82797510817894771</v>
      </c>
      <c r="AA62" s="74">
        <f t="shared" si="19"/>
        <v>0.82073116838342131</v>
      </c>
      <c r="AB62" s="74">
        <f t="shared" si="19"/>
        <v>0.80828363009300686</v>
      </c>
      <c r="AC62" s="74">
        <f t="shared" si="19"/>
        <v>0.79132490334533201</v>
      </c>
      <c r="AD62" s="74">
        <f t="shared" si="19"/>
        <v>1.1492472084289655</v>
      </c>
      <c r="AE62" s="74">
        <f t="shared" si="19"/>
        <v>1.1358425711396896</v>
      </c>
      <c r="AF62" s="74">
        <f t="shared" si="19"/>
        <v>1.1221028179181818</v>
      </c>
      <c r="AG62" s="74">
        <f t="shared" si="19"/>
        <v>1.1080195708661364</v>
      </c>
      <c r="AH62" s="74">
        <f t="shared" si="19"/>
        <v>1.45058424263779</v>
      </c>
      <c r="AI62" s="8">
        <f t="shared" si="19"/>
        <v>1.4357880312037348</v>
      </c>
    </row>
    <row r="63" spans="1:35">
      <c r="A63" s="78" t="s">
        <v>168</v>
      </c>
      <c r="B63" s="49" t="s">
        <v>21</v>
      </c>
      <c r="C63" s="76">
        <f>NPV('Pre-conditions'!B8,F63:AI63)</f>
        <v>10.667207120219762</v>
      </c>
      <c r="D63" s="77"/>
      <c r="E63" s="74">
        <f t="shared" si="18"/>
        <v>22.953131149261555</v>
      </c>
      <c r="F63" s="70">
        <f>IF(F8&lt;='Pre-conditions'!$B$5+$C10-1,F62,0)</f>
        <v>-0.1275</v>
      </c>
      <c r="G63" s="70">
        <f>IF(G8&lt;='Pre-conditions'!$B$5+$C10-1,G62,0)</f>
        <v>-0.13068749999999998</v>
      </c>
      <c r="H63" s="70">
        <f>IF(H8&lt;='Pre-conditions'!$B$5+$C10-1,H62,0)</f>
        <v>-0.31955468749999999</v>
      </c>
      <c r="I63" s="70">
        <f>IF(I8&lt;='Pre-conditions'!$B$5+$C10-1,I62,0)</f>
        <v>1.3899070117187498</v>
      </c>
      <c r="J63" s="70">
        <f>IF(J8&lt;='Pre-conditions'!$B$5+$C10-1,J62,0)</f>
        <v>1.6429805745117185</v>
      </c>
      <c r="K63" s="70">
        <f>IF(K8&lt;='Pre-conditions'!$B$5+$C10-1,K62,0)</f>
        <v>1.6281501138745118</v>
      </c>
      <c r="L63" s="70">
        <f>IF(L8&lt;='Pre-conditions'!$B$5+$C10-1,L62,0)</f>
        <v>1.6166851417213746</v>
      </c>
      <c r="M63" s="70">
        <f>IF(M8&lt;='Pre-conditions'!$B$5+$C10-1,M62,0)</f>
        <v>1.615580545264409</v>
      </c>
      <c r="N63" s="70">
        <f>IF(N8&lt;='Pre-conditions'!$B$5+$C10-1,N62,0)</f>
        <v>1.6102360838960195</v>
      </c>
      <c r="O63" s="70">
        <f>IF(O8&lt;='Pre-conditions'!$B$5+$C10-1,O62,0)</f>
        <v>1.7829613859934199</v>
      </c>
      <c r="P63" s="70">
        <f>IF(P8&lt;='Pre-conditions'!$B$5+$C10-1,P62,0)</f>
        <v>0.44677964564325562</v>
      </c>
      <c r="Q63" s="70">
        <f>IF(Q8&lt;='Pre-conditions'!$B$5+$C10-1,Q62,0)</f>
        <v>0.43169281928433723</v>
      </c>
      <c r="R63" s="70">
        <f>IF(R8&lt;='Pre-conditions'!$B$5+$C10-1,R62,0)</f>
        <v>0.42644882226644543</v>
      </c>
      <c r="S63" s="70">
        <f>IF(S8&lt;='Pre-conditions'!$B$5+$C10-1,S62,0)</f>
        <v>0.41634172532310676</v>
      </c>
      <c r="T63" s="70">
        <f>IF(T8&lt;='Pre-conditions'!$B$5+$C10-1,T62,0)</f>
        <v>0.4020654509561844</v>
      </c>
      <c r="U63" s="70">
        <f>IF(U8&lt;='Pre-conditions'!$B$5+$C10-1,U62,0)</f>
        <v>0.3911737697300891</v>
      </c>
      <c r="V63" s="70">
        <f>IF(V8&lt;='Pre-conditions'!$B$5+$C10-1,V62,0)</f>
        <v>0.38366029647334121</v>
      </c>
      <c r="W63" s="70">
        <f>IF(W8&lt;='Pre-conditions'!$B$5+$C10-1,W62,0)</f>
        <v>0.37251848638517482</v>
      </c>
      <c r="X63" s="70">
        <f>IF(X8&lt;='Pre-conditions'!$B$5+$C10-1,X62,0)</f>
        <v>0.36544163104480432</v>
      </c>
      <c r="Y63" s="70">
        <f>IF(Y8&lt;='Pre-conditions'!$B$5+$C10-1,Y62,0)</f>
        <v>0.84472285432092442</v>
      </c>
      <c r="Z63" s="70">
        <f>IF(Z8&lt;='Pre-conditions'!$B$5+$C10-1,Z62,0)</f>
        <v>0.82797510817894771</v>
      </c>
      <c r="AA63" s="70">
        <f>IF(AA8&lt;='Pre-conditions'!$B$5+$C10-1,AA62,0)</f>
        <v>0.82073116838342131</v>
      </c>
      <c r="AB63" s="70">
        <f>IF(AB8&lt;='Pre-conditions'!$B$5+$C10-1,AB62,0)</f>
        <v>0.80828363009300686</v>
      </c>
      <c r="AC63" s="70">
        <f>IF(AC8&lt;='Pre-conditions'!$B$5+$C10-1,AC62,0)</f>
        <v>0.79132490334533201</v>
      </c>
      <c r="AD63" s="70">
        <f>IF(AD8&lt;='Pre-conditions'!$B$5+$C10-1,AD62,0)</f>
        <v>1.1492472084289655</v>
      </c>
      <c r="AE63" s="70">
        <f>IF(AE8&lt;='Pre-conditions'!$B$5+$C10-1,AE62,0)</f>
        <v>1.1358425711396896</v>
      </c>
      <c r="AF63" s="70">
        <f>IF(AF8&lt;='Pre-conditions'!$B$5+$C10-1,AF62,0)</f>
        <v>1.1221028179181818</v>
      </c>
      <c r="AG63" s="70">
        <f>IF(AG8&lt;='Pre-conditions'!$B$5+$C10-1,AG62,0)</f>
        <v>1.1080195708661364</v>
      </c>
      <c r="AH63" s="70">
        <f>IF(AH8&lt;='Pre-conditions'!$B$5+$C10-1,AH62,0)</f>
        <v>0</v>
      </c>
      <c r="AI63" s="71">
        <f>IF(AI8&lt;='Pre-conditions'!$B$5+$C10-1,AI62,0)</f>
        <v>0</v>
      </c>
    </row>
    <row r="64" spans="1:35">
      <c r="A64" s="3" t="s">
        <v>145</v>
      </c>
      <c r="B64" s="2"/>
      <c r="C64" s="25">
        <f>IRR(F63:AI63)</f>
        <v>1.2132263022171417</v>
      </c>
      <c r="D64" s="25">
        <f>IRR(F62:AI62,'Pre-conditions'!B8)</f>
        <v>1.2132263035164015</v>
      </c>
    </row>
    <row r="65" spans="1:35">
      <c r="A65" s="3" t="s">
        <v>375</v>
      </c>
      <c r="B65" s="3" t="s">
        <v>67</v>
      </c>
      <c r="C65" s="211">
        <f>(C35*1000000)/C23/1000</f>
        <v>0.10641023178995891</v>
      </c>
      <c r="D65" s="3"/>
    </row>
    <row r="66" spans="1:35">
      <c r="A66" t="s">
        <v>146</v>
      </c>
    </row>
    <row r="67" spans="1:35">
      <c r="A67" t="s">
        <v>20</v>
      </c>
      <c r="F67" s="64">
        <f>Financing!I35</f>
        <v>7.3175999999999988</v>
      </c>
      <c r="G67" s="64">
        <f>Financing!J35</f>
        <v>8.0826799999999999</v>
      </c>
      <c r="H67" s="64">
        <f>Financing!K35</f>
        <v>5.6752549999999999</v>
      </c>
      <c r="I67" s="64">
        <f>Financing!L35</f>
        <v>0</v>
      </c>
      <c r="J67" s="64">
        <f>Financing!M35</f>
        <v>0</v>
      </c>
      <c r="K67" s="64">
        <f>Financing!N35</f>
        <v>0</v>
      </c>
      <c r="L67" s="64">
        <f>Financing!O35</f>
        <v>0</v>
      </c>
      <c r="M67" s="64">
        <f>Financing!P35</f>
        <v>0</v>
      </c>
      <c r="N67" s="64">
        <f>Financing!Q35</f>
        <v>0</v>
      </c>
      <c r="O67" s="64">
        <f>Financing!R35</f>
        <v>0</v>
      </c>
      <c r="P67" s="64">
        <f>Financing!S35</f>
        <v>0</v>
      </c>
      <c r="Q67" s="64">
        <f>Financing!T35</f>
        <v>0</v>
      </c>
      <c r="R67" s="64">
        <f>Financing!U35</f>
        <v>0</v>
      </c>
      <c r="S67" s="64">
        <f>Financing!V35</f>
        <v>0</v>
      </c>
      <c r="T67" s="64">
        <f>Financing!W35</f>
        <v>0</v>
      </c>
      <c r="U67" s="64">
        <f>Financing!X35</f>
        <v>0</v>
      </c>
      <c r="V67" s="64">
        <f>Financing!Y35</f>
        <v>0</v>
      </c>
      <c r="W67" s="64">
        <f>Financing!Z35</f>
        <v>0</v>
      </c>
      <c r="X67" s="64">
        <f>Financing!AA35</f>
        <v>0</v>
      </c>
      <c r="Y67" s="64">
        <f>Financing!AB35</f>
        <v>0</v>
      </c>
      <c r="Z67" s="64">
        <f>Financing!AC35</f>
        <v>0</v>
      </c>
      <c r="AA67" s="64">
        <f>Financing!AD35</f>
        <v>0</v>
      </c>
      <c r="AB67" s="64">
        <f>Financing!AE35</f>
        <v>0</v>
      </c>
      <c r="AC67" s="64">
        <f>Financing!AF35</f>
        <v>0</v>
      </c>
      <c r="AD67" s="64">
        <f>Financing!AG35</f>
        <v>0</v>
      </c>
      <c r="AE67" s="64">
        <f>Financing!AH35</f>
        <v>0</v>
      </c>
      <c r="AF67" s="64">
        <f>Financing!AI35</f>
        <v>0</v>
      </c>
      <c r="AG67" s="64">
        <f>Financing!AJ35</f>
        <v>0</v>
      </c>
      <c r="AH67" s="64">
        <f>Financing!AK35</f>
        <v>0</v>
      </c>
      <c r="AI67" s="64">
        <f>Financing!AL35</f>
        <v>0</v>
      </c>
    </row>
    <row r="68" spans="1:35">
      <c r="A68" t="s">
        <v>148</v>
      </c>
      <c r="F68" s="64">
        <f>F62</f>
        <v>-0.1275</v>
      </c>
      <c r="G68" s="64">
        <f t="shared" ref="G68:AI68" si="20">G62</f>
        <v>-0.13068749999999998</v>
      </c>
      <c r="H68" s="64">
        <f t="shared" si="20"/>
        <v>-0.31955468749999999</v>
      </c>
      <c r="I68" s="64">
        <f t="shared" si="20"/>
        <v>1.3899070117187498</v>
      </c>
      <c r="J68" s="64">
        <f t="shared" si="20"/>
        <v>1.6429805745117185</v>
      </c>
      <c r="K68" s="64">
        <f t="shared" si="20"/>
        <v>1.6281501138745118</v>
      </c>
      <c r="L68" s="64">
        <f t="shared" si="20"/>
        <v>1.6166851417213746</v>
      </c>
      <c r="M68" s="64">
        <f t="shared" si="20"/>
        <v>1.615580545264409</v>
      </c>
      <c r="N68" s="64">
        <f t="shared" si="20"/>
        <v>1.6102360838960195</v>
      </c>
      <c r="O68" s="64">
        <f t="shared" si="20"/>
        <v>1.7829613859934199</v>
      </c>
      <c r="P68" s="64">
        <f t="shared" si="20"/>
        <v>0.44677964564325562</v>
      </c>
      <c r="Q68" s="64">
        <f t="shared" si="20"/>
        <v>0.43169281928433723</v>
      </c>
      <c r="R68" s="64">
        <f t="shared" si="20"/>
        <v>0.42644882226644543</v>
      </c>
      <c r="S68" s="64">
        <f t="shared" si="20"/>
        <v>0.41634172532310676</v>
      </c>
      <c r="T68" s="64">
        <f t="shared" si="20"/>
        <v>0.4020654509561844</v>
      </c>
      <c r="U68" s="64">
        <f t="shared" si="20"/>
        <v>0.3911737697300891</v>
      </c>
      <c r="V68" s="64">
        <f t="shared" si="20"/>
        <v>0.38366029647334121</v>
      </c>
      <c r="W68" s="64">
        <f t="shared" si="20"/>
        <v>0.37251848638517482</v>
      </c>
      <c r="X68" s="64">
        <f t="shared" si="20"/>
        <v>0.36544163104480432</v>
      </c>
      <c r="Y68" s="64">
        <f t="shared" si="20"/>
        <v>0.84472285432092442</v>
      </c>
      <c r="Z68" s="64">
        <f t="shared" si="20"/>
        <v>0.82797510817894771</v>
      </c>
      <c r="AA68" s="64">
        <f t="shared" si="20"/>
        <v>0.82073116838342131</v>
      </c>
      <c r="AB68" s="64">
        <f t="shared" si="20"/>
        <v>0.80828363009300686</v>
      </c>
      <c r="AC68" s="64">
        <f t="shared" si="20"/>
        <v>0.79132490334533201</v>
      </c>
      <c r="AD68" s="64">
        <f t="shared" si="20"/>
        <v>1.1492472084289655</v>
      </c>
      <c r="AE68" s="64">
        <f t="shared" si="20"/>
        <v>1.1358425711396896</v>
      </c>
      <c r="AF68" s="64">
        <f t="shared" si="20"/>
        <v>1.1221028179181818</v>
      </c>
      <c r="AG68" s="64">
        <f t="shared" si="20"/>
        <v>1.1080195708661364</v>
      </c>
      <c r="AH68" s="64">
        <f t="shared" si="20"/>
        <v>1.45058424263779</v>
      </c>
      <c r="AI68" s="64">
        <f t="shared" si="20"/>
        <v>1.4357880312037348</v>
      </c>
    </row>
    <row r="69" spans="1:35">
      <c r="A69" t="s">
        <v>77</v>
      </c>
      <c r="F69" s="64">
        <f>-(F39+F40)</f>
        <v>0</v>
      </c>
      <c r="G69" s="64">
        <f t="shared" ref="G69:AI69" si="21">-(G39+G40)</f>
        <v>0</v>
      </c>
      <c r="H69" s="64">
        <f t="shared" si="21"/>
        <v>-0.18560000000000001</v>
      </c>
      <c r="I69" s="64">
        <f t="shared" si="21"/>
        <v>-2.1833850000000004</v>
      </c>
      <c r="J69" s="64">
        <f t="shared" si="21"/>
        <v>-1.6701999999999999</v>
      </c>
      <c r="K69" s="64">
        <f t="shared" si="21"/>
        <v>-1.6797</v>
      </c>
      <c r="L69" s="64">
        <f t="shared" si="21"/>
        <v>-1.6840999999999999</v>
      </c>
      <c r="M69" s="64">
        <f t="shared" si="21"/>
        <v>-1.6734</v>
      </c>
      <c r="N69" s="64">
        <f t="shared" si="21"/>
        <v>-1.66845</v>
      </c>
      <c r="O69" s="64">
        <f t="shared" si="21"/>
        <v>-1.4088000000000001</v>
      </c>
      <c r="P69" s="64">
        <f t="shared" si="21"/>
        <v>-1.2274</v>
      </c>
      <c r="Q69" s="64">
        <f t="shared" si="21"/>
        <v>-1.2354000000000001</v>
      </c>
      <c r="R69" s="64">
        <f t="shared" si="21"/>
        <v>-1.2290000000000001</v>
      </c>
      <c r="S69" s="64">
        <f t="shared" si="21"/>
        <v>-1.2292000000000001</v>
      </c>
      <c r="T69" s="64">
        <f t="shared" si="21"/>
        <v>-1.2349999999999999</v>
      </c>
      <c r="U69" s="64">
        <f t="shared" si="21"/>
        <v>-1.2356</v>
      </c>
      <c r="V69" s="64">
        <f t="shared" si="21"/>
        <v>-1.2310000000000001</v>
      </c>
      <c r="W69" s="64">
        <f t="shared" si="21"/>
        <v>-1.2312000000000001</v>
      </c>
      <c r="X69" s="64">
        <f t="shared" si="21"/>
        <v>-1.2252000000000001</v>
      </c>
      <c r="Y69" s="64">
        <f t="shared" si="21"/>
        <v>-0.52400000000000002</v>
      </c>
      <c r="Z69" s="64">
        <f t="shared" si="21"/>
        <v>-0.53100000000000003</v>
      </c>
      <c r="AA69" s="64">
        <f t="shared" si="21"/>
        <v>-0.52400000000000002</v>
      </c>
      <c r="AB69" s="64">
        <f t="shared" si="21"/>
        <v>-0.52400000000000002</v>
      </c>
      <c r="AC69" s="64">
        <f t="shared" si="21"/>
        <v>-0.53</v>
      </c>
      <c r="AD69" s="64">
        <f t="shared" si="21"/>
        <v>0</v>
      </c>
      <c r="AE69" s="64">
        <f t="shared" si="21"/>
        <v>0</v>
      </c>
      <c r="AF69" s="64">
        <f t="shared" si="21"/>
        <v>0</v>
      </c>
      <c r="AG69" s="64">
        <f t="shared" si="21"/>
        <v>0</v>
      </c>
      <c r="AH69" s="64">
        <f t="shared" si="21"/>
        <v>0</v>
      </c>
      <c r="AI69" s="64">
        <f t="shared" si="21"/>
        <v>0</v>
      </c>
    </row>
    <row r="70" spans="1:35">
      <c r="A70" t="s">
        <v>147</v>
      </c>
      <c r="F70" s="64">
        <f>IF(F67&gt;0,-F67,0)</f>
        <v>-7.3175999999999988</v>
      </c>
      <c r="G70" s="64">
        <f>IF(G67&gt;0,-G67+F70,0)</f>
        <v>-15.400279999999999</v>
      </c>
      <c r="H70" s="64">
        <f t="shared" ref="H70:AI70" si="22">IF(H67&gt;0,-H67+G70,0)</f>
        <v>-21.075534999999999</v>
      </c>
      <c r="I70" s="64">
        <f t="shared" si="22"/>
        <v>0</v>
      </c>
      <c r="J70" s="64">
        <f t="shared" si="22"/>
        <v>0</v>
      </c>
      <c r="K70" s="64">
        <f t="shared" si="22"/>
        <v>0</v>
      </c>
      <c r="L70" s="64">
        <f t="shared" si="22"/>
        <v>0</v>
      </c>
      <c r="M70" s="64">
        <f t="shared" si="22"/>
        <v>0</v>
      </c>
      <c r="N70" s="64">
        <f t="shared" si="22"/>
        <v>0</v>
      </c>
      <c r="O70" s="64">
        <f t="shared" si="22"/>
        <v>0</v>
      </c>
      <c r="P70" s="64">
        <f t="shared" si="22"/>
        <v>0</v>
      </c>
      <c r="Q70" s="64">
        <f t="shared" si="22"/>
        <v>0</v>
      </c>
      <c r="R70" s="64">
        <f t="shared" si="22"/>
        <v>0</v>
      </c>
      <c r="S70" s="64">
        <f t="shared" si="22"/>
        <v>0</v>
      </c>
      <c r="T70" s="64">
        <f t="shared" si="22"/>
        <v>0</v>
      </c>
      <c r="U70" s="64">
        <f t="shared" si="22"/>
        <v>0</v>
      </c>
      <c r="V70" s="64">
        <f t="shared" si="22"/>
        <v>0</v>
      </c>
      <c r="W70" s="64">
        <f t="shared" si="22"/>
        <v>0</v>
      </c>
      <c r="X70" s="64">
        <f t="shared" si="22"/>
        <v>0</v>
      </c>
      <c r="Y70" s="64">
        <f t="shared" si="22"/>
        <v>0</v>
      </c>
      <c r="Z70" s="64">
        <f t="shared" si="22"/>
        <v>0</v>
      </c>
      <c r="AA70" s="64">
        <f t="shared" si="22"/>
        <v>0</v>
      </c>
      <c r="AB70" s="64">
        <f t="shared" si="22"/>
        <v>0</v>
      </c>
      <c r="AC70" s="64">
        <f t="shared" si="22"/>
        <v>0</v>
      </c>
      <c r="AD70" s="64">
        <f t="shared" si="22"/>
        <v>0</v>
      </c>
      <c r="AE70" s="64">
        <f t="shared" si="22"/>
        <v>0</v>
      </c>
      <c r="AF70" s="64">
        <f t="shared" si="22"/>
        <v>0</v>
      </c>
      <c r="AG70" s="64">
        <f t="shared" si="22"/>
        <v>0</v>
      </c>
      <c r="AH70" s="64">
        <f t="shared" si="22"/>
        <v>0</v>
      </c>
      <c r="AI70" s="64">
        <f t="shared" si="22"/>
        <v>0</v>
      </c>
    </row>
    <row r="71" spans="1:35">
      <c r="A71" t="s">
        <v>149</v>
      </c>
      <c r="F71" s="64">
        <f t="shared" ref="F71:H71" si="23">IF(F70&lt;0,F70,E71-F68)</f>
        <v>-7.3175999999999988</v>
      </c>
      <c r="G71" s="64">
        <f t="shared" si="23"/>
        <v>-15.400279999999999</v>
      </c>
      <c r="H71" s="64">
        <f t="shared" si="23"/>
        <v>-21.075534999999999</v>
      </c>
      <c r="I71" s="64">
        <f>IF(I70&lt;0,I70,H71+I68)</f>
        <v>-19.685627988281247</v>
      </c>
      <c r="J71" s="64">
        <f t="shared" ref="J71:AI71" si="24">IF(J70&lt;0,J70,I71+J68)</f>
        <v>-18.042647413769529</v>
      </c>
      <c r="K71" s="64">
        <f t="shared" si="24"/>
        <v>-16.414497299895018</v>
      </c>
      <c r="L71" s="64">
        <f t="shared" si="24"/>
        <v>-14.797812158173643</v>
      </c>
      <c r="M71" s="64">
        <f t="shared" si="24"/>
        <v>-13.182231612909234</v>
      </c>
      <c r="N71" s="64">
        <f t="shared" si="24"/>
        <v>-11.571995529013215</v>
      </c>
      <c r="O71" s="64">
        <f t="shared" si="24"/>
        <v>-9.7890341430197942</v>
      </c>
      <c r="P71" s="64">
        <f t="shared" si="24"/>
        <v>-9.3422544973765387</v>
      </c>
      <c r="Q71" s="64">
        <f t="shared" si="24"/>
        <v>-8.9105616780922006</v>
      </c>
      <c r="R71" s="64">
        <f t="shared" si="24"/>
        <v>-8.4841128558257548</v>
      </c>
      <c r="S71" s="64">
        <f t="shared" si="24"/>
        <v>-8.0677711305026474</v>
      </c>
      <c r="T71" s="64">
        <f t="shared" si="24"/>
        <v>-7.6657056795464626</v>
      </c>
      <c r="U71" s="64">
        <f t="shared" si="24"/>
        <v>-7.2745319098163739</v>
      </c>
      <c r="V71" s="64">
        <f t="shared" si="24"/>
        <v>-6.890871613343033</v>
      </c>
      <c r="W71" s="64">
        <f t="shared" si="24"/>
        <v>-6.5183531269578578</v>
      </c>
      <c r="X71" s="64">
        <f t="shared" si="24"/>
        <v>-6.1529114959130533</v>
      </c>
      <c r="Y71" s="64">
        <f t="shared" si="24"/>
        <v>-5.3081886415921291</v>
      </c>
      <c r="Z71" s="64">
        <f t="shared" si="24"/>
        <v>-4.4802135334131812</v>
      </c>
      <c r="AA71" s="64">
        <f t="shared" si="24"/>
        <v>-3.6594823650297599</v>
      </c>
      <c r="AB71" s="64">
        <f t="shared" si="24"/>
        <v>-2.8511987349367529</v>
      </c>
      <c r="AC71" s="64">
        <f t="shared" si="24"/>
        <v>-2.0598738315914211</v>
      </c>
      <c r="AD71" s="64">
        <f t="shared" si="24"/>
        <v>-0.91062662316245557</v>
      </c>
      <c r="AE71" s="64">
        <f t="shared" si="24"/>
        <v>0.22521594797723399</v>
      </c>
      <c r="AF71" s="64">
        <f t="shared" si="24"/>
        <v>1.3473187658954158</v>
      </c>
      <c r="AG71" s="64">
        <f t="shared" si="24"/>
        <v>2.4553383367615522</v>
      </c>
      <c r="AH71" s="64">
        <f t="shared" si="24"/>
        <v>3.9059225793993422</v>
      </c>
      <c r="AI71" s="64">
        <f t="shared" si="24"/>
        <v>5.3417106106030765</v>
      </c>
    </row>
    <row r="72" spans="1:35">
      <c r="A72" t="s">
        <v>171</v>
      </c>
      <c r="E72" s="64">
        <f>SUM(F72:AI72)</f>
        <v>421.5828599999997</v>
      </c>
      <c r="F72" s="64">
        <f>F67-F41</f>
        <v>7.3175999999999988</v>
      </c>
      <c r="G72" s="64">
        <f>F72+G67-G41</f>
        <v>15.400279999999999</v>
      </c>
      <c r="H72" s="64">
        <f>G72+H67-H41</f>
        <v>21.075534999999999</v>
      </c>
      <c r="I72" s="64">
        <f>H72+I67-I41</f>
        <v>20.565534999999997</v>
      </c>
      <c r="J72" s="64">
        <f t="shared" ref="J72:AI72" si="25">I72+J67-J41</f>
        <v>20.055534999999995</v>
      </c>
      <c r="K72" s="64">
        <f t="shared" si="25"/>
        <v>19.545534999999994</v>
      </c>
      <c r="L72" s="64">
        <f t="shared" si="25"/>
        <v>19.035534999999992</v>
      </c>
      <c r="M72" s="64">
        <f t="shared" si="25"/>
        <v>18.525534999999991</v>
      </c>
      <c r="N72" s="64">
        <f t="shared" si="25"/>
        <v>18.015534999999989</v>
      </c>
      <c r="O72" s="64">
        <f t="shared" si="25"/>
        <v>17.505534999999988</v>
      </c>
      <c r="P72" s="64">
        <f t="shared" si="25"/>
        <v>16.995534999999986</v>
      </c>
      <c r="Q72" s="64">
        <f t="shared" si="25"/>
        <v>16.485534999999985</v>
      </c>
      <c r="R72" s="64">
        <f t="shared" si="25"/>
        <v>15.975534999999985</v>
      </c>
      <c r="S72" s="64">
        <f t="shared" si="25"/>
        <v>15.465534999999985</v>
      </c>
      <c r="T72" s="64">
        <f t="shared" si="25"/>
        <v>14.955534999999985</v>
      </c>
      <c r="U72" s="64">
        <f t="shared" si="25"/>
        <v>14.445534999999985</v>
      </c>
      <c r="V72" s="64">
        <f t="shared" si="25"/>
        <v>13.935534999999986</v>
      </c>
      <c r="W72" s="64">
        <f t="shared" si="25"/>
        <v>13.425534999999986</v>
      </c>
      <c r="X72" s="64">
        <f t="shared" si="25"/>
        <v>12.915534999999986</v>
      </c>
      <c r="Y72" s="64">
        <f t="shared" si="25"/>
        <v>12.405534999999986</v>
      </c>
      <c r="Z72" s="64">
        <f t="shared" si="25"/>
        <v>11.895534999999986</v>
      </c>
      <c r="AA72" s="64">
        <f t="shared" si="25"/>
        <v>11.385534999999987</v>
      </c>
      <c r="AB72" s="64">
        <f t="shared" si="25"/>
        <v>10.875534999999987</v>
      </c>
      <c r="AC72" s="64">
        <f t="shared" si="25"/>
        <v>10.365534999999987</v>
      </c>
      <c r="AD72" s="64">
        <f t="shared" si="25"/>
        <v>9.8555349999999873</v>
      </c>
      <c r="AE72" s="64">
        <f t="shared" si="25"/>
        <v>9.3455349999999875</v>
      </c>
      <c r="AF72" s="64">
        <f t="shared" si="25"/>
        <v>8.8355349999999877</v>
      </c>
      <c r="AG72" s="64">
        <f t="shared" si="25"/>
        <v>8.3255349999999879</v>
      </c>
      <c r="AH72" s="64">
        <f t="shared" si="25"/>
        <v>8.3255349999999879</v>
      </c>
      <c r="AI72" s="64">
        <f t="shared" si="25"/>
        <v>8.3255349999999879</v>
      </c>
    </row>
  </sheetData>
  <sheetProtection algorithmName="SHA-512" hashValue="yNKTr2dpl7FrL3ZRS/AW+yPgvVvj3PeQ/Li46ZhG9gakQGe5dHsmVgen19NwglvifycQJjTfCdhL6I39sWvqlA==" saltValue="nWHd7wuVbu+stRpm+1MUg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9"/>
  <sheetViews>
    <sheetView zoomScale="70" zoomScaleNormal="70" workbookViewId="0">
      <selection activeCell="B8" sqref="B8"/>
    </sheetView>
  </sheetViews>
  <sheetFormatPr defaultRowHeight="14.35"/>
  <cols>
    <col min="1" max="1" width="2" customWidth="1"/>
    <col min="2" max="2" width="51.703125" customWidth="1"/>
    <col min="3" max="3" width="17" style="24" customWidth="1"/>
    <col min="4" max="6" width="17" customWidth="1"/>
    <col min="7" max="7" width="17" style="24" customWidth="1"/>
    <col min="8" max="8" width="17" customWidth="1"/>
    <col min="13" max="15" width="14.41015625" hidden="1" customWidth="1"/>
  </cols>
  <sheetData>
    <row r="1" spans="1:15" ht="14.7" thickBot="1">
      <c r="A1" s="570" t="s">
        <v>174</v>
      </c>
      <c r="B1" s="570"/>
      <c r="C1" s="570"/>
      <c r="D1" s="570"/>
      <c r="E1" s="161" t="s">
        <v>257</v>
      </c>
      <c r="F1" s="549" t="str">
        <f>'Applicant information'!B10</f>
        <v>REN-Power Plc</v>
      </c>
      <c r="G1" s="550"/>
      <c r="H1" s="550"/>
    </row>
    <row r="2" spans="1:15" ht="15" thickTop="1" thickBot="1">
      <c r="A2" s="570"/>
      <c r="B2" s="570"/>
      <c r="C2" s="570"/>
      <c r="D2" s="570"/>
      <c r="E2" s="115"/>
      <c r="G2" s="125"/>
      <c r="H2" s="115"/>
    </row>
    <row r="3" spans="1:15" ht="16" thickTop="1">
      <c r="A3" s="115"/>
      <c r="B3" s="116" t="s">
        <v>214</v>
      </c>
      <c r="C3" s="142">
        <f>'Pre-conditions'!B4-2</f>
        <v>2013</v>
      </c>
      <c r="D3" s="141"/>
      <c r="E3" s="142">
        <f>'Pre-conditions'!B4-3</f>
        <v>2012</v>
      </c>
      <c r="F3" s="141"/>
      <c r="G3" s="142">
        <f>'Pre-conditions'!B4-4</f>
        <v>2011</v>
      </c>
      <c r="H3" s="141"/>
    </row>
    <row r="4" spans="1:15" ht="15.7">
      <c r="A4" s="115"/>
      <c r="B4" s="117" t="s">
        <v>243</v>
      </c>
      <c r="C4" s="153">
        <f>IFERROR('Balance Sheet - Stakeholder 1'!$C$23/'Balance Sheet - Stakeholder 1'!$C$56,"-")</f>
        <v>144.55863659463043</v>
      </c>
      <c r="D4" s="115"/>
      <c r="E4" s="153">
        <f>IFERROR('Balance Sheet - Stakeholder 1'!$E$23/'Balance Sheet - Stakeholder 1'!$E$56,"-")</f>
        <v>31.239140264326704</v>
      </c>
      <c r="F4" s="115"/>
      <c r="G4" s="153">
        <f>IFERROR('Balance Sheet - Stakeholder 1'!$G$23/'Balance Sheet - Stakeholder 1'!$G$56,"-")</f>
        <v>1.8134503168015108</v>
      </c>
      <c r="H4" s="115"/>
    </row>
    <row r="5" spans="1:15" ht="15.7">
      <c r="A5" s="115"/>
      <c r="B5" s="117" t="s">
        <v>175</v>
      </c>
      <c r="C5" s="153">
        <f>IFERROR(('Balance Sheet - Stakeholder 1'!$C$23-C20)/'Balance Sheet - Stakeholder 1'!$C$56,"-")</f>
        <v>144.55863659463043</v>
      </c>
      <c r="D5" s="115"/>
      <c r="E5" s="153">
        <f>IFERROR(('Balance Sheet - Stakeholder 1'!$E$23-E20)/'Balance Sheet - Stakeholder 1'!$E$56,"-")</f>
        <v>31.239140264326704</v>
      </c>
      <c r="F5" s="115"/>
      <c r="G5" s="153">
        <f>IFERROR(('Balance Sheet - Stakeholder 1'!$G$23-G20)/'Balance Sheet - Stakeholder 1'!$G$56,"-")</f>
        <v>1.8134503168015108</v>
      </c>
      <c r="H5" s="115"/>
    </row>
    <row r="6" spans="1:15" ht="15.7">
      <c r="A6" s="115"/>
      <c r="B6" s="117" t="s">
        <v>177</v>
      </c>
      <c r="C6" s="153">
        <f>C17/C56</f>
        <v>1.3818809808870017E-2</v>
      </c>
      <c r="D6" s="115"/>
      <c r="E6" s="153">
        <f>IFERROR(E17/'Balance Sheet - Stakeholder 1'!$E$56,"-")</f>
        <v>9.0368547909085404</v>
      </c>
      <c r="F6" s="115"/>
      <c r="G6" s="153">
        <f>IFERROR(G17/'Balance Sheet - Stakeholder 1'!$G$56,"-")</f>
        <v>0.10317859671786464</v>
      </c>
      <c r="H6" s="115"/>
    </row>
    <row r="7" spans="1:15" ht="17.25" customHeight="1">
      <c r="A7" s="115"/>
      <c r="B7" s="117" t="s">
        <v>213</v>
      </c>
      <c r="C7" s="131">
        <f>IFERROR(('Balance Sheet - Stakeholder 1'!$C$23-'Balance Sheet - Stakeholder 1'!$C$56),"-")</f>
        <v>5425.41618313653</v>
      </c>
      <c r="D7" s="115"/>
      <c r="E7" s="131">
        <f>IFERROR(('Balance Sheet - Stakeholder 1'!$E$23-'Balance Sheet - Stakeholder 1'!$E$56),"-")</f>
        <v>4754.5138955574903</v>
      </c>
      <c r="F7" s="115"/>
      <c r="G7" s="131">
        <f>IFERROR(('Balance Sheet - Stakeholder 1'!$G$23-'Balance Sheet - Stakeholder 1'!$G$56),"-")</f>
        <v>662.13155817416862</v>
      </c>
      <c r="H7" s="115"/>
    </row>
    <row r="8" spans="1:15" ht="15.75" customHeight="1">
      <c r="A8" s="115"/>
      <c r="B8" s="117" t="s">
        <v>176</v>
      </c>
      <c r="C8" s="153">
        <f>IFERROR((C59+C52)/C49,"-")</f>
        <v>3.3403542512930373E-2</v>
      </c>
      <c r="D8" s="115"/>
      <c r="E8" s="153">
        <f>IFERROR((E59+E52)/E49,"-")</f>
        <v>0.10306855552022832</v>
      </c>
      <c r="F8" s="115"/>
      <c r="G8" s="153">
        <f>IFERROR((G59+G52)/G49,"-")</f>
        <v>0</v>
      </c>
      <c r="H8" s="115"/>
    </row>
    <row r="9" spans="1:15" ht="17.25" customHeight="1">
      <c r="A9" s="115"/>
      <c r="B9" s="117" t="s">
        <v>178</v>
      </c>
      <c r="C9" s="153">
        <f>IFERROR((C59+C52)/C37,"-")</f>
        <v>3.2228947243186763E-2</v>
      </c>
      <c r="D9" s="115"/>
      <c r="E9" s="153">
        <f>IFERROR((E59+E52)/E37,"-")</f>
        <v>9.2854296770942563E-2</v>
      </c>
      <c r="F9" s="115"/>
      <c r="G9" s="153">
        <f>IFERROR((G59+G52)/G37,"-")</f>
        <v>0</v>
      </c>
      <c r="H9" s="115"/>
    </row>
    <row r="10" spans="1:15" ht="17.25" customHeight="1">
      <c r="A10" s="115"/>
      <c r="B10" s="117" t="s">
        <v>322</v>
      </c>
      <c r="C10" s="153">
        <f>'Income Sheet - Stakeholder 1'!C12/(('Balance Sheet - Stakeholder 1'!E37+'Balance Sheet - Stakeholder 1'!C37)/2)</f>
        <v>0.1008434463139854</v>
      </c>
      <c r="D10" s="115"/>
      <c r="E10" s="153">
        <f>'Income Sheet - Stakeholder 1'!E12/(('Balance Sheet - Stakeholder 1'!G37+'Balance Sheet - Stakeholder 1'!E37)/2)</f>
        <v>0.16748533381013503</v>
      </c>
      <c r="F10" s="115"/>
      <c r="G10" s="153">
        <f>'Income Sheet - Stakeholder 1'!G12/(('Balance Sheet - Stakeholder 1'!I37+'Balance Sheet - Stakeholder 1'!G37)/2)</f>
        <v>0.16370842075225889</v>
      </c>
      <c r="H10" s="115"/>
    </row>
    <row r="11" spans="1:15" ht="17.25" customHeight="1">
      <c r="A11" s="115"/>
      <c r="B11" s="117" t="s">
        <v>323</v>
      </c>
      <c r="C11" s="153">
        <f>'Income Sheet - Stakeholder 1'!C43/('Balance Sheet - Stakeholder 1'!C37-'Balance Sheet - Stakeholder 1'!C56)</f>
        <v>7.3444744858604041E-2</v>
      </c>
      <c r="D11" s="115"/>
      <c r="E11" s="153">
        <f>'Income Sheet - Stakeholder 1'!E43/('Balance Sheet - Stakeholder 1'!E37-'Balance Sheet - Stakeholder 1'!E56)</f>
        <v>0.12877214894211775</v>
      </c>
      <c r="F11" s="115"/>
      <c r="G11" s="153">
        <f>'Income Sheet - Stakeholder 1'!G43/('Balance Sheet - Stakeholder 1'!G37-'Balance Sheet - Stakeholder 1'!G56)</f>
        <v>6.9133974874563783E-2</v>
      </c>
      <c r="H11" s="115"/>
    </row>
    <row r="12" spans="1:15" ht="17.25" customHeight="1">
      <c r="A12" s="115"/>
      <c r="B12" s="117" t="s">
        <v>244</v>
      </c>
      <c r="C12" s="153">
        <f>(C52+C59)/(C37-C65+C49)</f>
        <v>3.3403542512930366E-2</v>
      </c>
      <c r="D12" s="115"/>
      <c r="E12" s="153">
        <f>(E52+E59)/(E37-E65+E49)</f>
        <v>0.10306855552022832</v>
      </c>
      <c r="F12" s="115"/>
      <c r="G12" s="153">
        <f>(G52+G59)/(G37-G65+G49)</f>
        <v>0</v>
      </c>
      <c r="H12" s="115"/>
    </row>
    <row r="13" spans="1:15" ht="23.35">
      <c r="A13" s="115"/>
      <c r="B13" s="129"/>
      <c r="C13" s="125"/>
      <c r="D13" s="115"/>
      <c r="E13" s="125"/>
      <c r="F13" s="115"/>
      <c r="G13" s="125"/>
      <c r="H13" s="115"/>
      <c r="M13" t="s">
        <v>311</v>
      </c>
      <c r="N13">
        <v>61.4405</v>
      </c>
      <c r="O13" t="s">
        <v>310</v>
      </c>
    </row>
    <row r="14" spans="1:15" ht="17" thickBot="1">
      <c r="A14" s="115"/>
      <c r="B14" s="118" t="s">
        <v>179</v>
      </c>
      <c r="C14" s="126"/>
      <c r="D14" s="119" t="s">
        <v>180</v>
      </c>
      <c r="E14" s="126"/>
      <c r="F14" s="119" t="s">
        <v>180</v>
      </c>
      <c r="G14" s="126"/>
      <c r="H14" s="119" t="s">
        <v>180</v>
      </c>
      <c r="M14">
        <v>2009</v>
      </c>
      <c r="N14">
        <v>2008</v>
      </c>
      <c r="O14">
        <v>2007</v>
      </c>
    </row>
    <row r="15" spans="1:15" ht="14.7" thickTop="1">
      <c r="A15" s="115"/>
      <c r="B15" s="115"/>
      <c r="C15" s="125"/>
      <c r="D15" s="115"/>
      <c r="E15" s="125"/>
      <c r="F15" s="115"/>
      <c r="G15" s="125"/>
      <c r="H15" s="115"/>
    </row>
    <row r="16" spans="1:15" ht="14.7" thickBot="1">
      <c r="A16" s="115"/>
      <c r="B16" s="132" t="s">
        <v>182</v>
      </c>
      <c r="C16" s="199" t="s">
        <v>212</v>
      </c>
      <c r="D16" s="134" t="s">
        <v>184</v>
      </c>
      <c r="E16" s="199" t="s">
        <v>212</v>
      </c>
      <c r="F16" s="134" t="s">
        <v>184</v>
      </c>
      <c r="G16" s="199" t="s">
        <v>212</v>
      </c>
      <c r="H16" s="134" t="s">
        <v>184</v>
      </c>
    </row>
    <row r="17" spans="1:15">
      <c r="A17" s="115"/>
      <c r="B17" s="148" t="s">
        <v>186</v>
      </c>
      <c r="C17" s="554">
        <f>M17/N$13/1000</f>
        <v>0.52224509891683824</v>
      </c>
      <c r="D17" s="138">
        <f>'Balance Sheet - Stakeholder 1'!$C17/C$37</f>
        <v>3.2849073708998103E-5</v>
      </c>
      <c r="E17" s="554">
        <f>N17/N$13/1000</f>
        <v>1420.8688243096981</v>
      </c>
      <c r="F17" s="138">
        <f>'Balance Sheet - Stakeholder 1'!$C17/E$37</f>
        <v>2.9802588164980689E-5</v>
      </c>
      <c r="G17" s="554">
        <f>O17/N$13/1000</f>
        <v>83.98522147443461</v>
      </c>
      <c r="H17" s="138">
        <f>'Balance Sheet - Stakeholder 1'!$C17/G$37</f>
        <v>3.8423295845850166E-5</v>
      </c>
      <c r="M17" s="24">
        <v>32087</v>
      </c>
      <c r="N17" s="24">
        <v>87298891</v>
      </c>
      <c r="O17" s="24">
        <v>5160094</v>
      </c>
    </row>
    <row r="18" spans="1:15">
      <c r="A18" s="115"/>
      <c r="B18" s="148" t="s">
        <v>188</v>
      </c>
      <c r="C18" s="554">
        <f t="shared" ref="C18:C22" si="0">M18/N$13/1000</f>
        <v>0</v>
      </c>
      <c r="D18" s="138">
        <f>'Balance Sheet - Stakeholder 1'!$C18/C$37</f>
        <v>0</v>
      </c>
      <c r="E18" s="554">
        <f t="shared" ref="E18:E22" si="1">N18/N$13/1000</f>
        <v>0</v>
      </c>
      <c r="F18" s="138">
        <f>'Balance Sheet - Stakeholder 1'!$C18/E$37</f>
        <v>0</v>
      </c>
      <c r="G18" s="554">
        <f t="shared" ref="G18:G22" si="2">O18/N$13/1000</f>
        <v>0</v>
      </c>
      <c r="H18" s="138">
        <f>'Balance Sheet - Stakeholder 1'!$C18/G$37</f>
        <v>0</v>
      </c>
      <c r="M18" s="24"/>
      <c r="N18" s="24"/>
      <c r="O18" s="24"/>
    </row>
    <row r="19" spans="1:15">
      <c r="A19" s="115"/>
      <c r="B19" s="148" t="s">
        <v>190</v>
      </c>
      <c r="C19" s="554">
        <f t="shared" si="0"/>
        <v>230.21902491027905</v>
      </c>
      <c r="D19" s="138">
        <f>'Balance Sheet - Stakeholder 1'!$C19/C$37</f>
        <v>1.4480713623117541E-2</v>
      </c>
      <c r="E19" s="554">
        <f t="shared" si="1"/>
        <v>116.55355994824261</v>
      </c>
      <c r="F19" s="138">
        <f>'Balance Sheet - Stakeholder 1'!$C19/E$37</f>
        <v>1.3137744712922686E-2</v>
      </c>
      <c r="G19" s="554">
        <f t="shared" si="2"/>
        <v>63.831218821461412</v>
      </c>
      <c r="H19" s="138">
        <f>'Balance Sheet - Stakeholder 1'!$C19/G$37</f>
        <v>1.6937973610125525E-2</v>
      </c>
      <c r="M19" s="24">
        <v>14144772</v>
      </c>
      <c r="N19" s="24">
        <v>7161109</v>
      </c>
      <c r="O19" s="24">
        <v>3921822</v>
      </c>
    </row>
    <row r="20" spans="1:15">
      <c r="A20" s="115"/>
      <c r="B20" s="148" t="s">
        <v>192</v>
      </c>
      <c r="C20" s="554">
        <f t="shared" si="0"/>
        <v>0</v>
      </c>
      <c r="D20" s="138">
        <f>'Balance Sheet - Stakeholder 1'!$C20/C$37</f>
        <v>0</v>
      </c>
      <c r="E20" s="554">
        <f t="shared" si="1"/>
        <v>0</v>
      </c>
      <c r="F20" s="138">
        <f>'Balance Sheet - Stakeholder 1'!$C20/E$37</f>
        <v>0</v>
      </c>
      <c r="G20" s="554">
        <f t="shared" si="2"/>
        <v>0</v>
      </c>
      <c r="H20" s="138">
        <f>'Balance Sheet - Stakeholder 1'!$C20/G$37</f>
        <v>0</v>
      </c>
      <c r="M20" s="24">
        <v>0</v>
      </c>
      <c r="N20" s="24">
        <v>0</v>
      </c>
      <c r="O20" s="24">
        <v>0</v>
      </c>
    </row>
    <row r="21" spans="1:15">
      <c r="A21" s="115"/>
      <c r="B21" s="148" t="s">
        <v>194</v>
      </c>
      <c r="C21" s="554">
        <f t="shared" si="0"/>
        <v>0</v>
      </c>
      <c r="D21" s="138">
        <f>'Balance Sheet - Stakeholder 1'!$C21/C$37</f>
        <v>0</v>
      </c>
      <c r="E21" s="554">
        <f t="shared" si="1"/>
        <v>0</v>
      </c>
      <c r="F21" s="138">
        <f>'Balance Sheet - Stakeholder 1'!$C21/E$37</f>
        <v>0</v>
      </c>
      <c r="G21" s="554">
        <f t="shared" si="2"/>
        <v>0</v>
      </c>
      <c r="H21" s="138">
        <f>'Balance Sheet - Stakeholder 1'!$C21/G$37</f>
        <v>0</v>
      </c>
      <c r="M21" s="24"/>
      <c r="N21" s="24"/>
      <c r="O21" s="24"/>
    </row>
    <row r="22" spans="1:15" ht="14.7" thickBot="1">
      <c r="A22" s="115"/>
      <c r="B22" s="148" t="s">
        <v>196</v>
      </c>
      <c r="C22" s="554">
        <f t="shared" si="0"/>
        <v>5232.4672488016859</v>
      </c>
      <c r="D22" s="138">
        <f>'Balance Sheet - Stakeholder 1'!$C22/C$37</f>
        <v>0.32912075707803889</v>
      </c>
      <c r="E22" s="554">
        <f t="shared" si="1"/>
        <v>3374.3219700360514</v>
      </c>
      <c r="F22" s="138">
        <f>'Balance Sheet - Stakeholder 1'!$C22/E$37</f>
        <v>0.29859747238646289</v>
      </c>
      <c r="G22" s="554">
        <f t="shared" si="2"/>
        <v>1328.2942196108431</v>
      </c>
      <c r="H22" s="138">
        <f>'Balance Sheet - Stakeholder 1'!$C22/G$37</f>
        <v>0.38496988774315649</v>
      </c>
      <c r="M22" s="24">
        <v>321485404</v>
      </c>
      <c r="N22" s="24">
        <v>207320029</v>
      </c>
      <c r="O22" s="24">
        <v>81611061</v>
      </c>
    </row>
    <row r="23" spans="1:15">
      <c r="A23" s="115"/>
      <c r="B23" s="135" t="s">
        <v>197</v>
      </c>
      <c r="C23" s="136">
        <f>SUBTOTAL(109,'Balance Sheet - Stakeholder 1'!$C$17:$C$22)</f>
        <v>5463.2085188108813</v>
      </c>
      <c r="D23" s="130">
        <f>C23/C37</f>
        <v>0.34363431977486542</v>
      </c>
      <c r="E23" s="136">
        <f>SUBTOTAL(109,'Balance Sheet - Stakeholder 1'!$E$17:$E$22)</f>
        <v>4911.7443542939918</v>
      </c>
      <c r="F23" s="130">
        <f t="shared" ref="F23" si="3">E23/E37</f>
        <v>0.28029500796905066</v>
      </c>
      <c r="G23" s="136">
        <f>SUBTOTAL(109,'Balance Sheet - Stakeholder 1'!$G$17:$G$22)</f>
        <v>1476.1106599067391</v>
      </c>
      <c r="H23" s="130">
        <f t="shared" ref="H23" si="4">G23/G37</f>
        <v>0.10860233385520257</v>
      </c>
      <c r="M23" s="24"/>
      <c r="N23" s="24"/>
      <c r="O23" s="24"/>
    </row>
    <row r="24" spans="1:15">
      <c r="A24" s="115"/>
      <c r="B24" s="120"/>
      <c r="C24" s="120"/>
      <c r="D24" s="120"/>
      <c r="E24" s="120"/>
      <c r="F24" s="120"/>
      <c r="G24" s="120"/>
      <c r="H24" s="120"/>
      <c r="M24" s="24"/>
      <c r="N24" s="24"/>
      <c r="O24" s="24"/>
    </row>
    <row r="25" spans="1:15" ht="14.7" thickBot="1">
      <c r="A25" s="115"/>
      <c r="B25" s="132" t="s">
        <v>198</v>
      </c>
      <c r="C25" s="199" t="s">
        <v>183</v>
      </c>
      <c r="D25" s="134" t="s">
        <v>184</v>
      </c>
      <c r="E25" s="199" t="s">
        <v>183</v>
      </c>
      <c r="F25" s="134" t="s">
        <v>184</v>
      </c>
      <c r="G25" s="199" t="s">
        <v>183</v>
      </c>
      <c r="H25" s="134" t="s">
        <v>184</v>
      </c>
      <c r="M25" s="24"/>
      <c r="N25" s="24"/>
      <c r="O25" s="24"/>
    </row>
    <row r="26" spans="1:15">
      <c r="A26" s="115"/>
      <c r="B26" s="148" t="s">
        <v>200</v>
      </c>
      <c r="C26" s="554">
        <f>M26/N$13/1000</f>
        <v>10435.111888737885</v>
      </c>
      <c r="D26" s="138">
        <f>'Balance Sheet - Stakeholder 1'!$C26/C37</f>
        <v>0.65636568022513464</v>
      </c>
      <c r="E26" s="554">
        <f>N26/N$13/1000</f>
        <v>12611.737030134846</v>
      </c>
      <c r="F26" s="138">
        <f>'Balance Sheet - Stakeholder 1'!$C26/E37</f>
        <v>0.59549307924682171</v>
      </c>
      <c r="G26" s="554">
        <f>O26/N$13/1000</f>
        <v>12115.776434111051</v>
      </c>
      <c r="H26" s="138">
        <f>'Balance Sheet - Stakeholder 1'!$C26/G37</f>
        <v>0.76774562770836297</v>
      </c>
      <c r="M26" s="24">
        <v>641138492</v>
      </c>
      <c r="N26" s="24">
        <v>774871429</v>
      </c>
      <c r="O26" s="24">
        <v>744399362</v>
      </c>
    </row>
    <row r="27" spans="1:15" ht="14.7" thickBot="1">
      <c r="A27" s="115"/>
      <c r="B27" s="148" t="s">
        <v>202</v>
      </c>
      <c r="C27" s="554">
        <f t="shared" ref="C27" si="5">M27/N$13/1000</f>
        <v>0</v>
      </c>
      <c r="D27" s="138">
        <f>'Balance Sheet - Stakeholder 1'!$C27/C37</f>
        <v>0</v>
      </c>
      <c r="E27" s="554">
        <f t="shared" ref="E27" si="6">N27/N$13/1000</f>
        <v>0</v>
      </c>
      <c r="F27" s="138">
        <f>'Balance Sheet - Stakeholder 1'!$C27/E37</f>
        <v>0</v>
      </c>
      <c r="G27" s="554">
        <f t="shared" ref="G27" si="7">O27/N$13/1000</f>
        <v>0</v>
      </c>
      <c r="H27" s="138">
        <f>'Balance Sheet - Stakeholder 1'!$C27/G37</f>
        <v>0</v>
      </c>
      <c r="M27" s="24">
        <v>0</v>
      </c>
      <c r="N27" s="24">
        <v>0</v>
      </c>
      <c r="O27" s="24">
        <v>0</v>
      </c>
    </row>
    <row r="28" spans="1:15">
      <c r="A28" s="115"/>
      <c r="B28" s="135" t="s">
        <v>4</v>
      </c>
      <c r="C28" s="136">
        <f>SUM('Balance Sheet - Stakeholder 1'!$C$26:$C$27)</f>
        <v>10435.111888737885</v>
      </c>
      <c r="D28" s="130">
        <f>C28/C37</f>
        <v>0.65636568022513464</v>
      </c>
      <c r="E28" s="136">
        <f>SUM('Balance Sheet - Stakeholder 1'!$E$26:$E$27)</f>
        <v>12611.737030134846</v>
      </c>
      <c r="F28" s="130">
        <f t="shared" ref="F28" si="8">E28/E37</f>
        <v>0.7197049920309494</v>
      </c>
      <c r="G28" s="136">
        <f>SUM('Balance Sheet - Stakeholder 1'!$G$26:$G$27)</f>
        <v>12115.776434111051</v>
      </c>
      <c r="H28" s="130">
        <f t="shared" ref="H28" si="9">G28/G37</f>
        <v>0.89139766614479743</v>
      </c>
      <c r="M28" s="24"/>
      <c r="N28" s="24"/>
      <c r="O28" s="24"/>
    </row>
    <row r="29" spans="1:15">
      <c r="A29" s="115"/>
      <c r="B29" s="120"/>
      <c r="C29" s="120"/>
      <c r="D29" s="120"/>
      <c r="E29" s="120"/>
      <c r="F29" s="120"/>
      <c r="G29" s="120"/>
      <c r="H29" s="120"/>
      <c r="M29" s="24"/>
      <c r="N29" s="24"/>
      <c r="O29" s="24"/>
    </row>
    <row r="30" spans="1:15">
      <c r="A30" s="115"/>
      <c r="B30" s="132" t="s">
        <v>205</v>
      </c>
      <c r="C30" s="133" t="s">
        <v>183</v>
      </c>
      <c r="D30" s="134" t="s">
        <v>184</v>
      </c>
      <c r="E30" s="133" t="s">
        <v>183</v>
      </c>
      <c r="F30" s="134" t="s">
        <v>184</v>
      </c>
      <c r="G30" s="133" t="s">
        <v>183</v>
      </c>
      <c r="H30" s="134" t="s">
        <v>184</v>
      </c>
      <c r="M30" s="24"/>
      <c r="N30" s="24"/>
      <c r="O30" s="24"/>
    </row>
    <row r="31" spans="1:15">
      <c r="A31" s="115"/>
      <c r="B31" s="148" t="s">
        <v>206</v>
      </c>
      <c r="C31" s="554">
        <f t="shared" ref="C31:C34" si="10">M31/N$13/1000</f>
        <v>0</v>
      </c>
      <c r="D31" s="138">
        <f>'Balance Sheet - Stakeholder 1'!$C31/C$37</f>
        <v>0</v>
      </c>
      <c r="E31" s="554">
        <f t="shared" ref="E31:E34" si="11">N31/N$13/1000</f>
        <v>0</v>
      </c>
      <c r="F31" s="138">
        <f>'Balance Sheet - Stakeholder 1'!$C31/E$37</f>
        <v>0</v>
      </c>
      <c r="G31" s="554">
        <f t="shared" ref="G31:G34" si="12">O31/N$13/1000</f>
        <v>0</v>
      </c>
      <c r="H31" s="138">
        <f>'Balance Sheet - Stakeholder 1'!$C31/G$37</f>
        <v>0</v>
      </c>
      <c r="M31" s="24">
        <v>0</v>
      </c>
      <c r="N31" s="24">
        <v>0</v>
      </c>
      <c r="O31" s="24">
        <v>0</v>
      </c>
    </row>
    <row r="32" spans="1:15">
      <c r="A32" s="115"/>
      <c r="B32" s="148" t="s">
        <v>207</v>
      </c>
      <c r="C32" s="554">
        <f t="shared" si="10"/>
        <v>0</v>
      </c>
      <c r="D32" s="138">
        <f>'Balance Sheet - Stakeholder 1'!$C32/C$37</f>
        <v>0</v>
      </c>
      <c r="E32" s="554">
        <f t="shared" si="11"/>
        <v>0</v>
      </c>
      <c r="F32" s="138">
        <f>'Balance Sheet - Stakeholder 1'!$C32/E$37</f>
        <v>0</v>
      </c>
      <c r="G32" s="554">
        <f t="shared" si="12"/>
        <v>0</v>
      </c>
      <c r="H32" s="138">
        <f>'Balance Sheet - Stakeholder 1'!$C32/G$37</f>
        <v>0</v>
      </c>
      <c r="M32" s="24">
        <v>0</v>
      </c>
      <c r="N32" s="24">
        <v>0</v>
      </c>
      <c r="O32" s="24">
        <v>0</v>
      </c>
    </row>
    <row r="33" spans="1:15">
      <c r="A33" s="115"/>
      <c r="B33" s="148" t="s">
        <v>194</v>
      </c>
      <c r="C33" s="554">
        <f t="shared" si="10"/>
        <v>0</v>
      </c>
      <c r="D33" s="138">
        <f>'Balance Sheet - Stakeholder 1'!$C33/C$37</f>
        <v>0</v>
      </c>
      <c r="E33" s="554">
        <f t="shared" si="11"/>
        <v>0</v>
      </c>
      <c r="F33" s="138">
        <f>'Balance Sheet - Stakeholder 1'!$C33/E$37</f>
        <v>0</v>
      </c>
      <c r="G33" s="554">
        <f t="shared" si="12"/>
        <v>0</v>
      </c>
      <c r="H33" s="138">
        <f>'Balance Sheet - Stakeholder 1'!$C33/G$37</f>
        <v>0</v>
      </c>
      <c r="M33" s="24">
        <v>0</v>
      </c>
      <c r="N33" s="24">
        <v>0</v>
      </c>
      <c r="O33" s="24">
        <v>0</v>
      </c>
    </row>
    <row r="34" spans="1:15" ht="14.7" thickBot="1">
      <c r="A34" s="115"/>
      <c r="B34" s="148" t="s">
        <v>208</v>
      </c>
      <c r="C34" s="554">
        <f t="shared" si="10"/>
        <v>0</v>
      </c>
      <c r="D34" s="138">
        <f>'Balance Sheet - Stakeholder 1'!$C34/C$37</f>
        <v>0</v>
      </c>
      <c r="E34" s="554">
        <f t="shared" si="11"/>
        <v>0</v>
      </c>
      <c r="F34" s="138">
        <f>'Balance Sheet - Stakeholder 1'!$C34/E$37</f>
        <v>0</v>
      </c>
      <c r="G34" s="554">
        <f t="shared" si="12"/>
        <v>0</v>
      </c>
      <c r="H34" s="138">
        <f>'Balance Sheet - Stakeholder 1'!$C34/G$37</f>
        <v>0</v>
      </c>
      <c r="M34" s="24">
        <v>0</v>
      </c>
      <c r="N34" s="24">
        <v>0</v>
      </c>
      <c r="O34" s="24">
        <v>0</v>
      </c>
    </row>
    <row r="35" spans="1:15">
      <c r="A35" s="115"/>
      <c r="B35" s="137" t="s">
        <v>4</v>
      </c>
      <c r="C35" s="136">
        <f>SUM('Balance Sheet - Stakeholder 1'!$C$31:$C$34)</f>
        <v>0</v>
      </c>
      <c r="D35" s="124">
        <f>C35/C37</f>
        <v>0</v>
      </c>
      <c r="E35" s="136">
        <f>SUM('Balance Sheet - Stakeholder 1'!$E$31:$E$34)</f>
        <v>0</v>
      </c>
      <c r="F35" s="124">
        <f t="shared" ref="F35" si="13">E35/E37</f>
        <v>0</v>
      </c>
      <c r="G35" s="136">
        <f>SUM('Balance Sheet - Stakeholder 1'!$G$31:$G$34)</f>
        <v>0</v>
      </c>
      <c r="H35" s="124">
        <f t="shared" ref="H35" si="14">G35/G37</f>
        <v>0</v>
      </c>
      <c r="M35" s="24"/>
      <c r="N35" s="24"/>
      <c r="O35" s="24"/>
    </row>
    <row r="36" spans="1:15">
      <c r="A36" s="115"/>
      <c r="B36" s="120"/>
      <c r="C36" s="120"/>
      <c r="D36" s="120"/>
      <c r="E36" s="120"/>
      <c r="F36" s="120"/>
      <c r="G36" s="120"/>
      <c r="H36" s="120"/>
      <c r="M36" s="24"/>
      <c r="N36" s="24"/>
      <c r="O36" s="24"/>
    </row>
    <row r="37" spans="1:15" ht="16" thickBot="1">
      <c r="A37" s="115"/>
      <c r="B37" s="143" t="s">
        <v>209</v>
      </c>
      <c r="C37" s="144">
        <f>C23+C28+C35</f>
        <v>15898.320407548767</v>
      </c>
      <c r="D37" s="145">
        <f>SUM('Balance Sheet - Stakeholder 1'!$D$17:$D$22,'Balance Sheet - Stakeholder 1'!$D$26:$D$27,'Balance Sheet - Stakeholder 1'!$D$31:$D$34)</f>
        <v>1</v>
      </c>
      <c r="E37" s="144">
        <f>E23+E28+E35</f>
        <v>17523.481384428836</v>
      </c>
      <c r="F37" s="145">
        <f>SUM('Balance Sheet - Stakeholder 1'!$D$17:$D$22,'Balance Sheet - Stakeholder 1'!$D$26:$D$27,'Balance Sheet - Stakeholder 1'!$D$31:$D$34)</f>
        <v>1</v>
      </c>
      <c r="G37" s="144">
        <f>G23+G28+G35</f>
        <v>13591.887094017789</v>
      </c>
      <c r="H37" s="145">
        <f>SUM('Balance Sheet - Stakeholder 1'!$D$17:$D$22,'Balance Sheet - Stakeholder 1'!$D$26:$D$27,'Balance Sheet - Stakeholder 1'!$D$31:$D$34)</f>
        <v>1</v>
      </c>
      <c r="M37" s="24"/>
      <c r="N37" s="24"/>
      <c r="O37" s="24"/>
    </row>
    <row r="38" spans="1:15" ht="14.7" thickTop="1">
      <c r="A38" s="115"/>
      <c r="B38" s="115"/>
      <c r="C38" s="125"/>
      <c r="D38" s="115"/>
      <c r="E38" s="125"/>
      <c r="F38" s="115"/>
      <c r="G38" s="125"/>
      <c r="H38" s="115"/>
      <c r="M38" s="24"/>
      <c r="N38" s="24"/>
      <c r="O38" s="24"/>
    </row>
    <row r="39" spans="1:15" ht="15.7">
      <c r="A39" s="115"/>
      <c r="B39" s="121" t="s">
        <v>210</v>
      </c>
      <c r="C39" s="127">
        <f>C37-C65</f>
        <v>0</v>
      </c>
      <c r="D39" s="122">
        <f>IF($C$40=0,"-",C39/$C$40)</f>
        <v>0</v>
      </c>
      <c r="E39" s="127">
        <f>E37-E65</f>
        <v>0</v>
      </c>
      <c r="F39" s="122">
        <f t="shared" ref="F39:F40" si="15">IF($C$40=0,"-",E39/$C$40)</f>
        <v>0</v>
      </c>
      <c r="G39" s="127">
        <f>G37-G65</f>
        <v>0</v>
      </c>
      <c r="H39" s="122">
        <f t="shared" ref="H39:H40" si="16">IF($C$40=0,"-",G39/$C$40)</f>
        <v>0</v>
      </c>
      <c r="M39" s="24"/>
      <c r="N39" s="24"/>
      <c r="O39" s="24"/>
    </row>
    <row r="40" spans="1:15" ht="15.7">
      <c r="A40" s="115"/>
      <c r="B40" s="121" t="s">
        <v>211</v>
      </c>
      <c r="C40" s="127">
        <f>C65+C39</f>
        <v>15898.320407548765</v>
      </c>
      <c r="D40" s="122">
        <f>IF($C$40=0,"-",C40/$C$40)</f>
        <v>1</v>
      </c>
      <c r="E40" s="127">
        <f>E65+E39</f>
        <v>17523.481384428836</v>
      </c>
      <c r="F40" s="122">
        <f t="shared" si="15"/>
        <v>1.1022221804077128</v>
      </c>
      <c r="G40" s="127">
        <f>G65+G39</f>
        <v>13591.887094017789</v>
      </c>
      <c r="H40" s="122">
        <f t="shared" si="16"/>
        <v>0.85492597617822286</v>
      </c>
      <c r="M40" s="24"/>
      <c r="N40" s="24"/>
      <c r="O40" s="24"/>
    </row>
    <row r="41" spans="1:15">
      <c r="E41" s="24"/>
      <c r="M41" s="24"/>
      <c r="N41" s="24"/>
      <c r="O41" s="24"/>
    </row>
    <row r="42" spans="1:15">
      <c r="E42" s="24"/>
      <c r="M42" s="24"/>
      <c r="N42" s="24"/>
      <c r="O42" s="24"/>
    </row>
    <row r="43" spans="1:15" ht="17" thickBot="1">
      <c r="B43" s="118" t="s">
        <v>181</v>
      </c>
      <c r="C43" s="128"/>
      <c r="D43" s="119" t="s">
        <v>180</v>
      </c>
      <c r="E43" s="128"/>
      <c r="F43" s="119" t="s">
        <v>180</v>
      </c>
      <c r="G43" s="128"/>
      <c r="H43" s="119" t="s">
        <v>180</v>
      </c>
      <c r="M43" s="24"/>
      <c r="N43" s="24"/>
      <c r="O43" s="24"/>
    </row>
    <row r="44" spans="1:15" ht="14.7" thickTop="1">
      <c r="B44" s="115"/>
      <c r="C44" s="125"/>
      <c r="D44" s="115"/>
      <c r="E44" s="125"/>
      <c r="F44" s="115"/>
      <c r="G44" s="125"/>
      <c r="H44" s="115"/>
      <c r="M44" s="24"/>
      <c r="N44" s="24"/>
      <c r="O44" s="24"/>
    </row>
    <row r="45" spans="1:15" ht="14.7" thickBot="1">
      <c r="B45" s="132" t="s">
        <v>60</v>
      </c>
      <c r="C45" s="199"/>
      <c r="D45" s="134"/>
      <c r="E45" s="199"/>
      <c r="F45" s="134"/>
      <c r="G45" s="199"/>
      <c r="H45" s="134"/>
      <c r="M45" s="24"/>
      <c r="N45" s="24"/>
      <c r="O45" s="24"/>
    </row>
    <row r="46" spans="1:15">
      <c r="B46" s="148" t="s">
        <v>313</v>
      </c>
      <c r="C46" s="554">
        <f t="shared" ref="C46:C48" si="17">M46/N$13/1000</f>
        <v>15283.07907650491</v>
      </c>
      <c r="D46" s="138"/>
      <c r="E46" s="554">
        <f t="shared" ref="E46:E48" si="18">N46/N$13/1000</f>
        <v>15283.07907650491</v>
      </c>
      <c r="F46" s="138"/>
      <c r="G46" s="554">
        <f t="shared" ref="G46:G48" si="19">O46/N$13/1000</f>
        <v>13053.279514326869</v>
      </c>
      <c r="H46" s="138"/>
      <c r="M46" s="24">
        <v>939000020</v>
      </c>
      <c r="N46" s="24">
        <v>939000020</v>
      </c>
      <c r="O46" s="24">
        <v>802000020</v>
      </c>
    </row>
    <row r="47" spans="1:15">
      <c r="B47" s="148" t="s">
        <v>314</v>
      </c>
      <c r="C47" s="554">
        <f t="shared" si="17"/>
        <v>0</v>
      </c>
      <c r="D47" s="138"/>
      <c r="E47" s="554">
        <f t="shared" si="18"/>
        <v>0</v>
      </c>
      <c r="F47" s="138"/>
      <c r="G47" s="554">
        <f t="shared" si="19"/>
        <v>0</v>
      </c>
      <c r="H47" s="138"/>
      <c r="M47" s="24">
        <v>0</v>
      </c>
      <c r="N47" s="24">
        <v>0</v>
      </c>
      <c r="O47" s="24">
        <v>0</v>
      </c>
    </row>
    <row r="48" spans="1:15" ht="14.7" thickBot="1">
      <c r="B48" s="148" t="s">
        <v>315</v>
      </c>
      <c r="C48" s="554">
        <f t="shared" si="17"/>
        <v>56.196075878288752</v>
      </c>
      <c r="D48" s="138"/>
      <c r="E48" s="554">
        <f t="shared" si="18"/>
        <v>503.79726727484314</v>
      </c>
      <c r="F48" s="138"/>
      <c r="G48" s="554">
        <f t="shared" si="19"/>
        <v>-282.47188743581188</v>
      </c>
      <c r="H48" s="138"/>
      <c r="M48" s="24">
        <v>3452715</v>
      </c>
      <c r="N48" s="24">
        <v>30953556</v>
      </c>
      <c r="O48" s="24">
        <v>-17355214</v>
      </c>
    </row>
    <row r="49" spans="2:15">
      <c r="B49" s="139" t="s">
        <v>312</v>
      </c>
      <c r="C49" s="140">
        <f>SUM(C46:C48)</f>
        <v>15339.275152383198</v>
      </c>
      <c r="D49" s="123"/>
      <c r="E49" s="140">
        <f>SUM(E46:E48)</f>
        <v>15786.876343779753</v>
      </c>
      <c r="F49" s="123"/>
      <c r="G49" s="140">
        <f>SUM(G46:G48)</f>
        <v>12770.807626891057</v>
      </c>
      <c r="H49" s="123"/>
      <c r="M49" s="24"/>
      <c r="N49" s="24"/>
      <c r="O49" s="24"/>
    </row>
    <row r="50" spans="2:15">
      <c r="B50" s="115"/>
      <c r="C50" s="125"/>
      <c r="D50" s="115"/>
      <c r="E50" s="125"/>
      <c r="F50" s="115"/>
      <c r="G50" s="125"/>
      <c r="H50" s="115"/>
      <c r="M50" s="24"/>
      <c r="N50" s="24"/>
      <c r="O50" s="24"/>
    </row>
    <row r="51" spans="2:15" ht="14.7" thickBot="1">
      <c r="B51" s="132" t="s">
        <v>185</v>
      </c>
      <c r="C51" s="199" t="s">
        <v>183</v>
      </c>
      <c r="D51" s="134" t="s">
        <v>184</v>
      </c>
      <c r="E51" s="199" t="s">
        <v>183</v>
      </c>
      <c r="F51" s="134" t="s">
        <v>184</v>
      </c>
      <c r="G51" s="199" t="s">
        <v>183</v>
      </c>
      <c r="H51" s="134" t="s">
        <v>184</v>
      </c>
      <c r="M51" s="24"/>
      <c r="N51" s="24"/>
      <c r="O51" s="24"/>
    </row>
    <row r="52" spans="2:15">
      <c r="B52" s="148" t="s">
        <v>187</v>
      </c>
      <c r="C52" s="554">
        <f t="shared" ref="C52:C55" si="20">M52/N$13/1000</f>
        <v>3.7639667645933867</v>
      </c>
      <c r="D52" s="138">
        <f>IFERROR('Balance Sheet - Stakeholder 1'!$C52/E,"-")</f>
        <v>2.3675247875908941E-4</v>
      </c>
      <c r="E52" s="554">
        <f t="shared" ref="E52:E55" si="21">N52/N$13/1000</f>
        <v>58.009781821436995</v>
      </c>
      <c r="F52" s="138">
        <f>IFERROR('Balance Sheet - Stakeholder 1'!$C52/E,"-")</f>
        <v>2.3675247875908941E-4</v>
      </c>
      <c r="G52" s="554">
        <f t="shared" ref="G52:G55" si="22">O52/N$13/1000</f>
        <v>0</v>
      </c>
      <c r="H52" s="138">
        <f>IFERROR('Balance Sheet - Stakeholder 1'!$C52/E,"-")</f>
        <v>2.3675247875908941E-4</v>
      </c>
      <c r="M52" s="24">
        <v>231260</v>
      </c>
      <c r="N52" s="24">
        <v>3564150</v>
      </c>
      <c r="O52" s="24">
        <v>0</v>
      </c>
    </row>
    <row r="53" spans="2:15">
      <c r="B53" s="148" t="s">
        <v>189</v>
      </c>
      <c r="C53" s="554">
        <f t="shared" si="20"/>
        <v>34.028368909758221</v>
      </c>
      <c r="D53" s="138">
        <f>IFERROR('Balance Sheet - Stakeholder 1'!$C53/E,"-")</f>
        <v>2.1403750860122957E-3</v>
      </c>
      <c r="E53" s="554">
        <f t="shared" si="21"/>
        <v>64.299948730885987</v>
      </c>
      <c r="F53" s="138">
        <f>IFERROR('Balance Sheet - Stakeholder 1'!$C53/E,"-")</f>
        <v>2.1403750860122957E-3</v>
      </c>
      <c r="G53" s="554">
        <f t="shared" si="22"/>
        <v>20.44384404423792</v>
      </c>
      <c r="H53" s="138">
        <f>IFERROR('Balance Sheet - Stakeholder 1'!$C53/E,"-")</f>
        <v>2.1403750860122957E-3</v>
      </c>
      <c r="M53" s="24">
        <v>2090720</v>
      </c>
      <c r="N53" s="24">
        <v>3950621</v>
      </c>
      <c r="O53" s="24">
        <v>1256080</v>
      </c>
    </row>
    <row r="54" spans="2:15">
      <c r="B54" s="148" t="s">
        <v>191</v>
      </c>
      <c r="C54" s="554">
        <f t="shared" si="20"/>
        <v>0</v>
      </c>
      <c r="D54" s="138">
        <f>IFERROR('Balance Sheet - Stakeholder 1'!$C54/E,"-")</f>
        <v>0</v>
      </c>
      <c r="E54" s="554">
        <f t="shared" si="21"/>
        <v>0</v>
      </c>
      <c r="F54" s="138">
        <f>IFERROR('Balance Sheet - Stakeholder 1'!$C54/E,"-")</f>
        <v>0</v>
      </c>
      <c r="G54" s="554">
        <f t="shared" si="22"/>
        <v>0</v>
      </c>
      <c r="H54" s="138">
        <f>IFERROR('Balance Sheet - Stakeholder 1'!$C54/E,"-")</f>
        <v>0</v>
      </c>
      <c r="M54" s="24">
        <v>0</v>
      </c>
      <c r="N54" s="24">
        <v>0</v>
      </c>
      <c r="O54" s="24">
        <v>0</v>
      </c>
    </row>
    <row r="55" spans="2:15" ht="14.7" thickBot="1">
      <c r="B55" s="148" t="s">
        <v>193</v>
      </c>
      <c r="C55" s="554">
        <f t="shared" si="20"/>
        <v>0</v>
      </c>
      <c r="D55" s="138">
        <f>IFERROR('Balance Sheet - Stakeholder 1'!$C55/E,"-")</f>
        <v>0</v>
      </c>
      <c r="E55" s="554">
        <f t="shared" si="21"/>
        <v>34.920728184178188</v>
      </c>
      <c r="F55" s="138">
        <f>IFERROR('Balance Sheet - Stakeholder 1'!$C55/E,"-")</f>
        <v>0</v>
      </c>
      <c r="G55" s="554">
        <f t="shared" si="22"/>
        <v>793.53525768833254</v>
      </c>
      <c r="H55" s="138">
        <f>IFERROR('Balance Sheet - Stakeholder 1'!$C55/E,"-")</f>
        <v>0</v>
      </c>
      <c r="M55" s="24">
        <v>0</v>
      </c>
      <c r="N55" s="24">
        <v>2145547</v>
      </c>
      <c r="O55" s="24">
        <v>48755203</v>
      </c>
    </row>
    <row r="56" spans="2:15">
      <c r="B56" s="139" t="s">
        <v>195</v>
      </c>
      <c r="C56" s="140">
        <f>SUBTOTAL(109,'Balance Sheet - Stakeholder 1'!$C$52:$C$55)</f>
        <v>37.792335674351605</v>
      </c>
      <c r="D56" s="123">
        <f>SUBTOTAL(109,'Balance Sheet - Stakeholder 1'!$D$52:$D$55)</f>
        <v>2.3771275647713852E-3</v>
      </c>
      <c r="E56" s="140">
        <f>SUBTOTAL(109,'Balance Sheet - Stakeholder 1'!$E$52:$E$55)</f>
        <v>157.23045873650116</v>
      </c>
      <c r="F56" s="123">
        <f>SUBTOTAL(109,'Balance Sheet - Stakeholder 1'!$D$52:$D$55)</f>
        <v>2.3771275647713852E-3</v>
      </c>
      <c r="G56" s="140">
        <f>SUBTOTAL(109,'Balance Sheet - Stakeholder 1'!$G$52:$G$55)</f>
        <v>813.97910173257048</v>
      </c>
      <c r="H56" s="123">
        <f>SUBTOTAL(109,'Balance Sheet - Stakeholder 1'!$D$52:$D$55)</f>
        <v>2.3771275647713852E-3</v>
      </c>
      <c r="M56" s="24"/>
      <c r="N56" s="24"/>
      <c r="O56" s="24"/>
    </row>
    <row r="57" spans="2:15">
      <c r="B57" s="115"/>
      <c r="C57" s="125"/>
      <c r="D57" s="115"/>
      <c r="E57" s="125"/>
      <c r="F57" s="115"/>
      <c r="G57" s="125"/>
      <c r="H57" s="115"/>
      <c r="M57" s="24"/>
      <c r="N57" s="24"/>
      <c r="O57" s="24"/>
    </row>
    <row r="58" spans="2:15" ht="14.7" thickBot="1">
      <c r="B58" s="132" t="s">
        <v>199</v>
      </c>
      <c r="C58" s="199" t="s">
        <v>183</v>
      </c>
      <c r="D58" s="134" t="s">
        <v>184</v>
      </c>
      <c r="E58" s="199" t="s">
        <v>183</v>
      </c>
      <c r="F58" s="134" t="s">
        <v>184</v>
      </c>
      <c r="G58" s="199" t="s">
        <v>183</v>
      </c>
      <c r="H58" s="134" t="s">
        <v>184</v>
      </c>
      <c r="M58" s="24"/>
      <c r="N58" s="24"/>
      <c r="O58" s="24"/>
    </row>
    <row r="59" spans="2:15">
      <c r="B59" s="148" t="s">
        <v>201</v>
      </c>
      <c r="C59" s="554">
        <f t="shared" ref="C59:C62" si="23">M59/N$13/1000</f>
        <v>508.62216290557529</v>
      </c>
      <c r="D59" s="138">
        <f>IFERROR('Balance Sheet - Stakeholder 1'!$C59/E,"-")</f>
        <v>3.1992194764427676E-2</v>
      </c>
      <c r="E59" s="554">
        <f t="shared" ref="E59:E62" si="24">N59/N$13/1000</f>
        <v>1569.1207591084058</v>
      </c>
      <c r="F59" s="138">
        <f>IFERROR('Balance Sheet - Stakeholder 1'!$C59/E,"-")</f>
        <v>3.1992194764427676E-2</v>
      </c>
      <c r="G59" s="554">
        <f t="shared" ref="G59:G62" si="25">O59/N$13/1000</f>
        <v>0</v>
      </c>
      <c r="H59" s="138">
        <f>IFERROR('Balance Sheet - Stakeholder 1'!$C59/E,"-")</f>
        <v>3.1992194764427676E-2</v>
      </c>
      <c r="M59" s="24">
        <v>31250000</v>
      </c>
      <c r="N59" s="24">
        <v>96407564</v>
      </c>
      <c r="O59" s="24">
        <v>0</v>
      </c>
    </row>
    <row r="60" spans="2:15">
      <c r="B60" s="148" t="s">
        <v>203</v>
      </c>
      <c r="C60" s="554">
        <f t="shared" si="23"/>
        <v>0</v>
      </c>
      <c r="D60" s="138">
        <f>IFERROR('Balance Sheet - Stakeholder 1'!$C60/E,"-")</f>
        <v>0</v>
      </c>
      <c r="E60" s="554">
        <f t="shared" si="24"/>
        <v>0</v>
      </c>
      <c r="F60" s="138">
        <f>IFERROR('Balance Sheet - Stakeholder 1'!$C60/E,"-")</f>
        <v>0</v>
      </c>
      <c r="G60" s="554">
        <f t="shared" si="25"/>
        <v>0</v>
      </c>
      <c r="H60" s="138">
        <f>IFERROR('Balance Sheet - Stakeholder 1'!$C60/E,"-")</f>
        <v>0</v>
      </c>
      <c r="M60" s="24">
        <v>0</v>
      </c>
      <c r="N60" s="24">
        <v>0</v>
      </c>
      <c r="O60" s="24">
        <v>0</v>
      </c>
    </row>
    <row r="61" spans="2:15">
      <c r="B61" s="148" t="s">
        <v>194</v>
      </c>
      <c r="C61" s="554">
        <f t="shared" si="23"/>
        <v>0</v>
      </c>
      <c r="D61" s="138">
        <f>IFERROR('Balance Sheet - Stakeholder 1'!$C61/E,"-")</f>
        <v>0</v>
      </c>
      <c r="E61" s="554">
        <f t="shared" si="24"/>
        <v>0</v>
      </c>
      <c r="F61" s="138">
        <f>IFERROR('Balance Sheet - Stakeholder 1'!$C61/E,"-")</f>
        <v>0</v>
      </c>
      <c r="G61" s="554">
        <f t="shared" si="25"/>
        <v>0</v>
      </c>
      <c r="H61" s="138">
        <f>IFERROR('Balance Sheet - Stakeholder 1'!$C61/E,"-")</f>
        <v>0</v>
      </c>
      <c r="M61" s="24">
        <v>0</v>
      </c>
      <c r="N61" s="24">
        <v>0</v>
      </c>
      <c r="O61" s="24">
        <v>0</v>
      </c>
    </row>
    <row r="62" spans="2:15" ht="14.7" thickBot="1">
      <c r="B62" s="148" t="s">
        <v>204</v>
      </c>
      <c r="C62" s="554">
        <f t="shared" si="23"/>
        <v>12.630756585639766</v>
      </c>
      <c r="D62" s="138">
        <f>IFERROR('Balance Sheet - Stakeholder 1'!$C62/E,"-")</f>
        <v>7.9447113039956662E-4</v>
      </c>
      <c r="E62" s="554">
        <f t="shared" si="24"/>
        <v>10.253822804176398</v>
      </c>
      <c r="F62" s="138">
        <f>IFERROR('Balance Sheet - Stakeholder 1'!$C62/E,"-")</f>
        <v>7.9447113039956662E-4</v>
      </c>
      <c r="G62" s="554">
        <f t="shared" si="25"/>
        <v>7.1003653941618312</v>
      </c>
      <c r="H62" s="138">
        <f>IFERROR('Balance Sheet - Stakeholder 1'!$C62/E,"-")</f>
        <v>7.9447113039956662E-4</v>
      </c>
      <c r="M62" s="24">
        <v>776040</v>
      </c>
      <c r="N62" s="24">
        <v>630000</v>
      </c>
      <c r="O62" s="24">
        <v>436250</v>
      </c>
    </row>
    <row r="63" spans="2:15">
      <c r="B63" s="139" t="s">
        <v>4</v>
      </c>
      <c r="C63" s="140">
        <f>SUM('Balance Sheet - Stakeholder 1'!$C$59:$C$62)</f>
        <v>521.25291949121504</v>
      </c>
      <c r="D63" s="123">
        <f>SUBTOTAL(109,'Balance Sheet - Stakeholder 1'!$D$59:$D$62)</f>
        <v>3.278666589482724E-2</v>
      </c>
      <c r="E63" s="140">
        <f>SUM('Balance Sheet - Stakeholder 1'!$E$59:$E$62)</f>
        <v>1579.3745819125822</v>
      </c>
      <c r="F63" s="123">
        <f>SUBTOTAL(109,'Balance Sheet - Stakeholder 1'!$D$59:$D$62)</f>
        <v>3.278666589482724E-2</v>
      </c>
      <c r="G63" s="140">
        <f>SUM('Balance Sheet - Stakeholder 1'!$G$59:$G$62)</f>
        <v>7.1003653941618312</v>
      </c>
      <c r="H63" s="123">
        <f>SUBTOTAL(109,'Balance Sheet - Stakeholder 1'!$D$59:$D$62)</f>
        <v>3.278666589482724E-2</v>
      </c>
    </row>
    <row r="64" spans="2:15">
      <c r="B64" s="120"/>
      <c r="C64" s="120"/>
      <c r="D64" s="120"/>
      <c r="E64" s="120"/>
      <c r="F64" s="120"/>
      <c r="G64" s="120"/>
      <c r="H64" s="120"/>
    </row>
    <row r="65" spans="2:8" ht="16" thickBot="1">
      <c r="B65" s="143" t="s">
        <v>245</v>
      </c>
      <c r="C65" s="144">
        <f>C49+C56+C63</f>
        <v>15898.320407548765</v>
      </c>
      <c r="D65" s="145">
        <f>IFERROR(C65/E,"-")</f>
        <v>1</v>
      </c>
      <c r="E65" s="144">
        <f>E49+E56+E63</f>
        <v>17523.481384428836</v>
      </c>
      <c r="F65" s="145">
        <f>IFERROR(E65/E,"-")</f>
        <v>1.1022221804077128</v>
      </c>
      <c r="G65" s="144">
        <f>G49+G56+G63</f>
        <v>13591.887094017789</v>
      </c>
      <c r="H65" s="145">
        <f>IFERROR(G65/E,"-")</f>
        <v>0.85492597617822286</v>
      </c>
    </row>
    <row r="66" spans="2:8" ht="14.7" thickTop="1"/>
    <row r="67" spans="2:8" hidden="1">
      <c r="B67" t="s">
        <v>251</v>
      </c>
      <c r="C67" s="152">
        <f>'Pre-conditions'!B9+Financing!B3*'Pre-conditions'!B8</f>
        <v>0.105</v>
      </c>
    </row>
    <row r="68" spans="2:8" hidden="1">
      <c r="B68" t="s">
        <v>252</v>
      </c>
      <c r="C68" s="152">
        <f>('Pre-conditions'!B9+'Pre-conditions'!B11)*(1-'Pre-conditions'!B12)</f>
        <v>6.9999999999999993E-2</v>
      </c>
    </row>
    <row r="69" spans="2:8" ht="14.7" thickBot="1">
      <c r="B69" s="159" t="s">
        <v>129</v>
      </c>
      <c r="C69" s="160">
        <f>(D39*$C67)+(D40-D39)*$C68</f>
        <v>6.9999999999999993E-2</v>
      </c>
      <c r="D69" s="159"/>
      <c r="E69" s="160">
        <f>(F39*$C67)+(F40-F39)*$C68</f>
        <v>7.7155552628539889E-2</v>
      </c>
      <c r="F69" s="159"/>
      <c r="G69" s="160">
        <f>(H39*$C67)+(H40-H39)*$C68</f>
        <v>5.9844818332475597E-2</v>
      </c>
      <c r="H69" s="159"/>
    </row>
  </sheetData>
  <sheetProtection algorithmName="SHA-512" hashValue="b/ol5OcoUNbTrGRPCr+85jnVJmmfHimuWfFF1fCT9erIaLxzMnxsvF+ddL+DrYtyQKEWR5y/vQVoXEe5biJrlA==" saltValue="SKC4+AB4r0n3GKkr/SEGNw==" spinCount="100000" sheet="1" objects="1" scenarios="1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9"/>
  <sheetViews>
    <sheetView zoomScale="70" zoomScaleNormal="70" workbookViewId="0">
      <selection activeCell="L22" sqref="L22"/>
    </sheetView>
  </sheetViews>
  <sheetFormatPr defaultRowHeight="14.35"/>
  <cols>
    <col min="1" max="1" width="2" customWidth="1"/>
    <col min="2" max="2" width="51.703125" customWidth="1"/>
    <col min="3" max="3" width="18" style="24" customWidth="1"/>
    <col min="4" max="6" width="18" customWidth="1"/>
    <col min="7" max="7" width="18" style="24" customWidth="1"/>
    <col min="8" max="8" width="18" customWidth="1"/>
  </cols>
  <sheetData>
    <row r="1" spans="1:8" ht="14.7" thickBot="1">
      <c r="A1" s="570" t="s">
        <v>174</v>
      </c>
      <c r="B1" s="570"/>
      <c r="C1" s="570"/>
      <c r="D1" s="570"/>
      <c r="E1" s="161" t="s">
        <v>257</v>
      </c>
      <c r="F1" s="549" t="str">
        <f>'Applicant information'!B11</f>
        <v>India Eco Energy Invest</v>
      </c>
      <c r="G1" s="550"/>
      <c r="H1" s="550"/>
    </row>
    <row r="2" spans="1:8" ht="15" thickTop="1" thickBot="1">
      <c r="A2" s="570"/>
      <c r="B2" s="570"/>
      <c r="C2" s="570"/>
      <c r="D2" s="570"/>
      <c r="E2" s="115"/>
      <c r="G2" s="125"/>
      <c r="H2" s="115"/>
    </row>
    <row r="3" spans="1:8" ht="16" thickTop="1">
      <c r="A3" s="115"/>
      <c r="B3" s="116" t="s">
        <v>214</v>
      </c>
      <c r="C3" s="142">
        <f>'Pre-conditions'!B4-2</f>
        <v>2013</v>
      </c>
      <c r="D3" s="141"/>
      <c r="E3" s="142">
        <f>'Pre-conditions'!B4-3</f>
        <v>2012</v>
      </c>
      <c r="F3" s="141"/>
      <c r="G3" s="142">
        <f>'Pre-conditions'!B4-4</f>
        <v>2011</v>
      </c>
      <c r="H3" s="141"/>
    </row>
    <row r="4" spans="1:8" ht="15.7">
      <c r="A4" s="115"/>
      <c r="B4" s="117" t="s">
        <v>243</v>
      </c>
      <c r="C4" s="153">
        <f>IFERROR('Balance Sheet - Stakeholder 2'!$C$23/'Balance Sheet - Stakeholder 2'!$C$56,"-")</f>
        <v>3.3238636363636362</v>
      </c>
      <c r="D4" s="115"/>
      <c r="E4" s="153">
        <f>IFERROR('Balance Sheet - Stakeholder 2'!$E$23/'Balance Sheet - Stakeholder 2'!$E$56,"-")</f>
        <v>3.551948051948052</v>
      </c>
      <c r="F4" s="115"/>
      <c r="G4" s="153">
        <f>IFERROR('Balance Sheet - Stakeholder 2'!$G$23/'Balance Sheet - Stakeholder 2'!$G$56,"-")</f>
        <v>3.5259740259740258</v>
      </c>
      <c r="H4" s="115"/>
    </row>
    <row r="5" spans="1:8" ht="15.7">
      <c r="A5" s="115"/>
      <c r="B5" s="117" t="s">
        <v>175</v>
      </c>
      <c r="C5" s="153">
        <f>IFERROR(('Balance Sheet - Stakeholder 2'!$C$23-C20)/'Balance Sheet - Stakeholder 2'!$C$56,"-")</f>
        <v>1.8465909090909092</v>
      </c>
      <c r="D5" s="115"/>
      <c r="E5" s="153">
        <f>IFERROR(('Balance Sheet - Stakeholder 2'!$E$23-E20)/'Balance Sheet - Stakeholder 2'!$E$56,"-")</f>
        <v>1.8636363636363635</v>
      </c>
      <c r="F5" s="115"/>
      <c r="G5" s="153">
        <f>IFERROR(('Balance Sheet - Stakeholder 2'!$G$23-G20)/'Balance Sheet - Stakeholder 2'!$G$56,"-")</f>
        <v>2.0974025974025974</v>
      </c>
      <c r="H5" s="115"/>
    </row>
    <row r="6" spans="1:8" ht="15.7">
      <c r="A6" s="115"/>
      <c r="B6" s="117" t="s">
        <v>177</v>
      </c>
      <c r="C6" s="153">
        <f>C17/C56</f>
        <v>0.45454545454545453</v>
      </c>
      <c r="D6" s="115"/>
      <c r="E6" s="153">
        <f>IFERROR(E17/'Balance Sheet - Stakeholder 2'!$E$56,"-")</f>
        <v>0.46753246753246752</v>
      </c>
      <c r="F6" s="115"/>
      <c r="G6" s="153">
        <f>IFERROR(G17/'Balance Sheet - Stakeholder 2'!$G$56,"-")</f>
        <v>0.41558441558441561</v>
      </c>
      <c r="H6" s="115"/>
    </row>
    <row r="7" spans="1:8" ht="17.25" customHeight="1">
      <c r="A7" s="115"/>
      <c r="B7" s="117" t="s">
        <v>213</v>
      </c>
      <c r="C7" s="131">
        <f>IFERROR(('Balance Sheet - Stakeholder 2'!$C$23-'Balance Sheet - Stakeholder 2'!$C$56),"-")</f>
        <v>102250</v>
      </c>
      <c r="D7" s="115"/>
      <c r="E7" s="131">
        <f>IFERROR(('Balance Sheet - Stakeholder 2'!$E$23-'Balance Sheet - Stakeholder 2'!$E$56),"-")</f>
        <v>98250</v>
      </c>
      <c r="F7" s="115"/>
      <c r="G7" s="131">
        <f>IFERROR(('Balance Sheet - Stakeholder 2'!$G$23-'Balance Sheet - Stakeholder 2'!$G$56),"-")</f>
        <v>97250</v>
      </c>
      <c r="H7" s="115"/>
    </row>
    <row r="8" spans="1:8" ht="15.75" customHeight="1">
      <c r="A8" s="115"/>
      <c r="B8" s="117" t="s">
        <v>176</v>
      </c>
      <c r="C8" s="153">
        <f>IFERROR((C59+C52)/C49,"-")</f>
        <v>0.22450888681010289</v>
      </c>
      <c r="D8" s="115"/>
      <c r="E8" s="153">
        <f>IFERROR((E59+E52)/E49,"-")</f>
        <v>0.19997217778396048</v>
      </c>
      <c r="F8" s="115"/>
      <c r="G8" s="153">
        <f>IFERROR((G59+G52)/G49,"-")</f>
        <v>0.24864864864864866</v>
      </c>
      <c r="H8" s="115"/>
    </row>
    <row r="9" spans="1:8" ht="17.25" customHeight="1">
      <c r="A9" s="115"/>
      <c r="B9" s="117" t="s">
        <v>178</v>
      </c>
      <c r="C9" s="153">
        <f>IFERROR((C59+C52)/C37,"-")</f>
        <v>0.16205266711681296</v>
      </c>
      <c r="D9" s="115"/>
      <c r="E9" s="153">
        <f>IFERROR((E59+E52)/E37,"-")</f>
        <v>0.1304846084894421</v>
      </c>
      <c r="F9" s="115"/>
      <c r="G9" s="153">
        <f>IFERROR((G59+G52)/G37,"-")</f>
        <v>0.14397496087636932</v>
      </c>
      <c r="H9" s="115"/>
    </row>
    <row r="10" spans="1:8" ht="17.25" customHeight="1">
      <c r="A10" s="115"/>
      <c r="B10" s="117" t="s">
        <v>322</v>
      </c>
      <c r="C10" s="153">
        <f>'Income Sheet - Stakeholder 1'!C12/(('Balance Sheet - Stakeholder 1'!E37+'Balance Sheet - Stakeholder 1'!C37)/2)</f>
        <v>0.1008434463139854</v>
      </c>
      <c r="D10" s="115"/>
      <c r="E10" s="153">
        <f>'Income Sheet - Stakeholder 1'!E12/(('Balance Sheet - Stakeholder 1'!G37+'Balance Sheet - Stakeholder 1'!E37)/2)</f>
        <v>0.16748533381013503</v>
      </c>
      <c r="F10" s="115"/>
      <c r="G10" s="153">
        <f>'Income Sheet - Stakeholder 1'!G12/(('Balance Sheet - Stakeholder 1'!I37+'Balance Sheet - Stakeholder 1'!G37)/2)</f>
        <v>0.16370842075225889</v>
      </c>
      <c r="H10" s="115"/>
    </row>
    <row r="11" spans="1:8" ht="17.25" customHeight="1">
      <c r="A11" s="115"/>
      <c r="B11" s="117" t="s">
        <v>323</v>
      </c>
      <c r="C11" s="153">
        <f>'Income Sheet - Stakeholder 1'!C43/('Balance Sheet - Stakeholder 1'!C37-'Balance Sheet - Stakeholder 1'!C56)</f>
        <v>7.3444744858604041E-2</v>
      </c>
      <c r="D11" s="115"/>
      <c r="E11" s="153">
        <f>'Income Sheet - Stakeholder 1'!E43/('Balance Sheet - Stakeholder 1'!E37-'Balance Sheet - Stakeholder 1'!E56)</f>
        <v>0.12877214894211775</v>
      </c>
      <c r="F11" s="115"/>
      <c r="G11" s="153">
        <f>'Income Sheet - Stakeholder 1'!G43/('Balance Sheet - Stakeholder 1'!G37-'Balance Sheet - Stakeholder 1'!G56)</f>
        <v>6.9133974874563783E-2</v>
      </c>
      <c r="H11" s="115"/>
    </row>
    <row r="12" spans="1:8" ht="17.25" customHeight="1">
      <c r="A12" s="115"/>
      <c r="B12" s="117" t="s">
        <v>244</v>
      </c>
      <c r="C12" s="153">
        <f>(C52+C59)/(C37-C65+C49)</f>
        <v>0.22450888681010289</v>
      </c>
      <c r="D12" s="115"/>
      <c r="E12" s="153">
        <f>(E52+E59)/(E37-E65+E49)</f>
        <v>0.19997217778396048</v>
      </c>
      <c r="F12" s="115"/>
      <c r="G12" s="153">
        <f>(G52+G59)/(G37-G65+G49)</f>
        <v>0.24864864864864866</v>
      </c>
      <c r="H12" s="115"/>
    </row>
    <row r="13" spans="1:8" ht="23.35">
      <c r="A13" s="115"/>
      <c r="B13" s="129"/>
      <c r="C13" s="125"/>
      <c r="D13" s="115"/>
      <c r="E13" s="125"/>
      <c r="F13" s="115"/>
      <c r="G13" s="125"/>
      <c r="H13" s="115"/>
    </row>
    <row r="14" spans="1:8" ht="17" thickBot="1">
      <c r="A14" s="115"/>
      <c r="B14" s="118" t="s">
        <v>179</v>
      </c>
      <c r="C14" s="126"/>
      <c r="D14" s="119" t="s">
        <v>180</v>
      </c>
      <c r="E14" s="126"/>
      <c r="F14" s="119" t="s">
        <v>180</v>
      </c>
      <c r="G14" s="126"/>
      <c r="H14" s="119" t="s">
        <v>180</v>
      </c>
    </row>
    <row r="15" spans="1:8" ht="14.7" thickTop="1">
      <c r="A15" s="115"/>
      <c r="B15" s="115"/>
      <c r="C15" s="125"/>
      <c r="D15" s="115"/>
      <c r="E15" s="125"/>
      <c r="F15" s="115"/>
      <c r="G15" s="125"/>
      <c r="H15" s="115"/>
    </row>
    <row r="16" spans="1:8" ht="14.7" thickBot="1">
      <c r="A16" s="115"/>
      <c r="B16" s="132" t="s">
        <v>182</v>
      </c>
      <c r="C16" s="133" t="s">
        <v>212</v>
      </c>
      <c r="D16" s="134" t="s">
        <v>184</v>
      </c>
      <c r="E16" s="133" t="s">
        <v>212</v>
      </c>
      <c r="F16" s="134" t="s">
        <v>184</v>
      </c>
      <c r="G16" s="133" t="s">
        <v>212</v>
      </c>
      <c r="H16" s="134" t="s">
        <v>184</v>
      </c>
    </row>
    <row r="17" spans="1:8">
      <c r="A17" s="115"/>
      <c r="B17" s="148" t="s">
        <v>186</v>
      </c>
      <c r="C17" s="551">
        <v>20000</v>
      </c>
      <c r="D17" s="138">
        <f>'Balance Sheet - Stakeholder 2'!$C17/C$37</f>
        <v>5.401755570560432E-2</v>
      </c>
      <c r="E17" s="551">
        <v>18000</v>
      </c>
      <c r="F17" s="138">
        <f>'Balance Sheet - Stakeholder 2'!$C17/E$37</f>
        <v>5.6732438473670474E-2</v>
      </c>
      <c r="G17" s="551">
        <v>16000</v>
      </c>
      <c r="H17" s="138">
        <f>'Balance Sheet - Stakeholder 2'!$C17/G$37</f>
        <v>6.2597809076682318E-2</v>
      </c>
    </row>
    <row r="18" spans="1:8">
      <c r="A18" s="115"/>
      <c r="B18" s="148" t="s">
        <v>188</v>
      </c>
      <c r="C18" s="552">
        <v>250</v>
      </c>
      <c r="D18" s="138">
        <f>'Balance Sheet - Stakeholder 2'!$C18/C$37</f>
        <v>6.7521944632005406E-4</v>
      </c>
      <c r="E18" s="552">
        <v>250</v>
      </c>
      <c r="F18" s="138">
        <f>'Balance Sheet - Stakeholder 2'!$C18/E$37</f>
        <v>7.0915548092088097E-4</v>
      </c>
      <c r="G18" s="552">
        <v>1250</v>
      </c>
      <c r="H18" s="138">
        <f>'Balance Sheet - Stakeholder 2'!$C18/G$37</f>
        <v>7.8247261345852897E-4</v>
      </c>
    </row>
    <row r="19" spans="1:8">
      <c r="A19" s="115"/>
      <c r="B19" s="148" t="s">
        <v>190</v>
      </c>
      <c r="C19" s="552">
        <v>55000</v>
      </c>
      <c r="D19" s="138">
        <f>'Balance Sheet - Stakeholder 2'!$C19/C$37</f>
        <v>0.14854827819041189</v>
      </c>
      <c r="E19" s="552">
        <v>50000</v>
      </c>
      <c r="F19" s="138">
        <f>'Balance Sheet - Stakeholder 2'!$C19/E$37</f>
        <v>0.15601420580259381</v>
      </c>
      <c r="G19" s="552">
        <v>60000</v>
      </c>
      <c r="H19" s="138">
        <f>'Balance Sheet - Stakeholder 2'!$C19/G$37</f>
        <v>0.17214397496087636</v>
      </c>
    </row>
    <row r="20" spans="1:8">
      <c r="A20" s="115"/>
      <c r="B20" s="148" t="s">
        <v>192</v>
      </c>
      <c r="C20" s="552">
        <v>65000</v>
      </c>
      <c r="D20" s="138">
        <f>'Balance Sheet - Stakeholder 2'!$C20/C$37</f>
        <v>0.17555705604321403</v>
      </c>
      <c r="E20" s="552">
        <v>65000</v>
      </c>
      <c r="F20" s="138">
        <f>'Balance Sheet - Stakeholder 2'!$C20/E$37</f>
        <v>0.18438042503942906</v>
      </c>
      <c r="G20" s="552">
        <v>55000</v>
      </c>
      <c r="H20" s="138">
        <f>'Balance Sheet - Stakeholder 2'!$C20/G$37</f>
        <v>0.20344287949921752</v>
      </c>
    </row>
    <row r="21" spans="1:8">
      <c r="A21" s="115"/>
      <c r="B21" s="148" t="s">
        <v>194</v>
      </c>
      <c r="C21" s="552">
        <v>4000</v>
      </c>
      <c r="D21" s="138">
        <f>'Balance Sheet - Stakeholder 2'!$C21/C$37</f>
        <v>1.0803511141120865E-2</v>
      </c>
      <c r="E21" s="552">
        <v>1500</v>
      </c>
      <c r="F21" s="138">
        <f>'Balance Sheet - Stakeholder 2'!$C21/E$37</f>
        <v>1.1346487694734095E-2</v>
      </c>
      <c r="G21" s="552">
        <v>1500</v>
      </c>
      <c r="H21" s="138">
        <f>'Balance Sheet - Stakeholder 2'!$C21/G$37</f>
        <v>1.2519561815336464E-2</v>
      </c>
    </row>
    <row r="22" spans="1:8" ht="14.7" thickBot="1">
      <c r="A22" s="115"/>
      <c r="B22" s="148" t="s">
        <v>196</v>
      </c>
      <c r="C22" s="553">
        <v>2000</v>
      </c>
      <c r="D22" s="138">
        <f>'Balance Sheet - Stakeholder 2'!$C22/C$37</f>
        <v>5.4017555705604325E-3</v>
      </c>
      <c r="E22" s="553">
        <v>2000</v>
      </c>
      <c r="F22" s="138">
        <f>'Balance Sheet - Stakeholder 2'!$C22/E$37</f>
        <v>5.6732438473670477E-3</v>
      </c>
      <c r="G22" s="553">
        <v>2000</v>
      </c>
      <c r="H22" s="138">
        <f>'Balance Sheet - Stakeholder 2'!$C22/G$37</f>
        <v>6.2597809076682318E-3</v>
      </c>
    </row>
    <row r="23" spans="1:8">
      <c r="A23" s="115"/>
      <c r="B23" s="135" t="s">
        <v>197</v>
      </c>
      <c r="C23" s="136">
        <f>SUBTOTAL(109,'Balance Sheet - Stakeholder 2'!$C$17:$C$22)</f>
        <v>146250</v>
      </c>
      <c r="D23" s="130">
        <f>C23/C37</f>
        <v>0.39500337609723157</v>
      </c>
      <c r="E23" s="136">
        <f>SUBTOTAL(109,'Balance Sheet - Stakeholder 2'!$E$17:$E$22)</f>
        <v>136750</v>
      </c>
      <c r="F23" s="130">
        <f t="shared" ref="F23" si="0">E23/E37</f>
        <v>0.38790804806372187</v>
      </c>
      <c r="G23" s="136">
        <f>SUBTOTAL(109,'Balance Sheet - Stakeholder 2'!$G$17:$G$22)</f>
        <v>135750</v>
      </c>
      <c r="H23" s="130">
        <f t="shared" ref="H23" si="1">G23/G37</f>
        <v>0.42488262910798125</v>
      </c>
    </row>
    <row r="24" spans="1:8">
      <c r="A24" s="115"/>
      <c r="B24" s="120"/>
      <c r="C24" s="120"/>
      <c r="D24" s="120"/>
      <c r="E24" s="120"/>
      <c r="F24" s="120"/>
      <c r="G24" s="120"/>
      <c r="H24" s="120"/>
    </row>
    <row r="25" spans="1:8" ht="14.7" thickBot="1">
      <c r="A25" s="115"/>
      <c r="B25" s="132" t="s">
        <v>198</v>
      </c>
      <c r="C25" s="133" t="s">
        <v>183</v>
      </c>
      <c r="D25" s="134" t="s">
        <v>184</v>
      </c>
      <c r="E25" s="133" t="s">
        <v>183</v>
      </c>
      <c r="F25" s="134" t="s">
        <v>184</v>
      </c>
      <c r="G25" s="133" t="s">
        <v>183</v>
      </c>
      <c r="H25" s="134" t="s">
        <v>184</v>
      </c>
    </row>
    <row r="26" spans="1:8">
      <c r="A26" s="115"/>
      <c r="B26" s="148" t="s">
        <v>200</v>
      </c>
      <c r="C26" s="551">
        <v>150000</v>
      </c>
      <c r="D26" s="138">
        <f>'Balance Sheet - Stakeholder 2'!$C26/C37</f>
        <v>0.40513166779203241</v>
      </c>
      <c r="E26" s="551">
        <v>150000</v>
      </c>
      <c r="F26" s="138">
        <f>'Balance Sheet - Stakeholder 2'!$C26/E37</f>
        <v>0.42549328855252855</v>
      </c>
      <c r="G26" s="551">
        <v>120000</v>
      </c>
      <c r="H26" s="138">
        <f>'Balance Sheet - Stakeholder 2'!$C26/G37</f>
        <v>0.46948356807511737</v>
      </c>
    </row>
    <row r="27" spans="1:8" ht="14.7" thickBot="1">
      <c r="A27" s="115"/>
      <c r="B27" s="148" t="s">
        <v>202</v>
      </c>
      <c r="C27" s="553">
        <v>6000</v>
      </c>
      <c r="D27" s="138">
        <f>'Balance Sheet - Stakeholder 2'!$C27/C37</f>
        <v>1.6205266711681297E-2</v>
      </c>
      <c r="E27" s="553">
        <v>2750</v>
      </c>
      <c r="F27" s="138">
        <f>'Balance Sheet - Stakeholder 2'!$C27/E37</f>
        <v>1.7019731542101142E-2</v>
      </c>
      <c r="G27" s="553">
        <v>2750</v>
      </c>
      <c r="H27" s="138">
        <f>'Balance Sheet - Stakeholder 2'!$C27/G37</f>
        <v>1.8779342723004695E-2</v>
      </c>
    </row>
    <row r="28" spans="1:8">
      <c r="A28" s="115"/>
      <c r="B28" s="135" t="s">
        <v>4</v>
      </c>
      <c r="C28" s="136">
        <f>SUM('Balance Sheet - Stakeholder 2'!$C$26:$C$27)</f>
        <v>156000</v>
      </c>
      <c r="D28" s="130">
        <f>C28/C37</f>
        <v>0.42133693450371373</v>
      </c>
      <c r="E28" s="136">
        <f>SUM('Balance Sheet - Stakeholder 2'!$E$26:$E$27)</f>
        <v>152750</v>
      </c>
      <c r="F28" s="130">
        <f t="shared" ref="F28" si="2">E28/E37</f>
        <v>0.43329399884265823</v>
      </c>
      <c r="G28" s="136">
        <f>SUM('Balance Sheet - Stakeholder 2'!$G$26:$G$27)</f>
        <v>122750</v>
      </c>
      <c r="H28" s="130">
        <f t="shared" ref="H28" si="3">G28/G37</f>
        <v>0.38419405320813771</v>
      </c>
    </row>
    <row r="29" spans="1:8">
      <c r="A29" s="115"/>
      <c r="B29" s="120"/>
      <c r="C29" s="120"/>
      <c r="D29" s="120"/>
      <c r="E29" s="120"/>
      <c r="F29" s="120"/>
      <c r="G29" s="120"/>
      <c r="H29" s="120"/>
    </row>
    <row r="30" spans="1:8" ht="14.7" thickBot="1">
      <c r="A30" s="115"/>
      <c r="B30" s="132" t="s">
        <v>205</v>
      </c>
      <c r="C30" s="133" t="s">
        <v>183</v>
      </c>
      <c r="D30" s="134" t="s">
        <v>184</v>
      </c>
      <c r="E30" s="133" t="s">
        <v>183</v>
      </c>
      <c r="F30" s="134" t="s">
        <v>184</v>
      </c>
      <c r="G30" s="133" t="s">
        <v>183</v>
      </c>
      <c r="H30" s="134" t="s">
        <v>184</v>
      </c>
    </row>
    <row r="31" spans="1:8">
      <c r="A31" s="115"/>
      <c r="B31" s="148" t="s">
        <v>206</v>
      </c>
      <c r="C31" s="551">
        <v>8000</v>
      </c>
      <c r="D31" s="138">
        <f>'Balance Sheet - Stakeholder 2'!$C31/C$37</f>
        <v>2.160702228224173E-2</v>
      </c>
      <c r="E31" s="551">
        <v>8000</v>
      </c>
      <c r="F31" s="138">
        <f>'Balance Sheet - Stakeholder 2'!$C31/E$37</f>
        <v>2.2692975389468191E-2</v>
      </c>
      <c r="G31" s="551">
        <v>8000</v>
      </c>
      <c r="H31" s="138">
        <f>'Balance Sheet - Stakeholder 2'!$C31/G$37</f>
        <v>2.5039123630672927E-2</v>
      </c>
    </row>
    <row r="32" spans="1:8">
      <c r="A32" s="115"/>
      <c r="B32" s="148" t="s">
        <v>207</v>
      </c>
      <c r="C32" s="552">
        <v>27000</v>
      </c>
      <c r="D32" s="138">
        <f>'Balance Sheet - Stakeholder 2'!$C32/C$37</f>
        <v>7.2923700202565833E-2</v>
      </c>
      <c r="E32" s="552">
        <v>22000</v>
      </c>
      <c r="F32" s="138">
        <f>'Balance Sheet - Stakeholder 2'!$C32/E$37</f>
        <v>7.6588791939455142E-2</v>
      </c>
      <c r="G32" s="552">
        <v>20000</v>
      </c>
      <c r="H32" s="138">
        <f>'Balance Sheet - Stakeholder 2'!$C32/G$37</f>
        <v>8.4507042253521125E-2</v>
      </c>
    </row>
    <row r="33" spans="1:15">
      <c r="A33" s="115"/>
      <c r="B33" s="148" t="s">
        <v>194</v>
      </c>
      <c r="C33" s="552">
        <v>22000</v>
      </c>
      <c r="D33" s="138">
        <f>'Balance Sheet - Stakeholder 2'!$C33/C$37</f>
        <v>5.9419311276164753E-2</v>
      </c>
      <c r="E33" s="552">
        <v>22000</v>
      </c>
      <c r="F33" s="138">
        <f>'Balance Sheet - Stakeholder 2'!$C33/E$37</f>
        <v>6.240568232103752E-2</v>
      </c>
      <c r="G33" s="552">
        <v>22000</v>
      </c>
      <c r="H33" s="138">
        <f>'Balance Sheet - Stakeholder 2'!$C33/G$37</f>
        <v>6.8857589984350542E-2</v>
      </c>
    </row>
    <row r="34" spans="1:15" ht="14.7" thickBot="1">
      <c r="A34" s="115"/>
      <c r="B34" s="148" t="s">
        <v>208</v>
      </c>
      <c r="C34" s="553">
        <v>11000</v>
      </c>
      <c r="D34" s="138">
        <f>'Balance Sheet - Stakeholder 2'!$C34/C$37</f>
        <v>2.9709655638082377E-2</v>
      </c>
      <c r="E34" s="553">
        <v>11032</v>
      </c>
      <c r="F34" s="138">
        <f>'Balance Sheet - Stakeholder 2'!$C34/E$37</f>
        <v>3.120284116051876E-2</v>
      </c>
      <c r="G34" s="553">
        <v>11000</v>
      </c>
      <c r="H34" s="138">
        <f>'Balance Sheet - Stakeholder 2'!$C34/G$37</f>
        <v>3.4428794992175271E-2</v>
      </c>
    </row>
    <row r="35" spans="1:15">
      <c r="A35" s="115"/>
      <c r="B35" s="137" t="s">
        <v>4</v>
      </c>
      <c r="C35" s="136">
        <f>SUM('Balance Sheet - Stakeholder 2'!$C$31:$C$34)</f>
        <v>68000</v>
      </c>
      <c r="D35" s="124">
        <f>C35/C37</f>
        <v>0.18365968939905469</v>
      </c>
      <c r="E35" s="136">
        <f>SUM('Balance Sheet - Stakeholder 2'!$E$31:$E$34)</f>
        <v>63032</v>
      </c>
      <c r="F35" s="124">
        <f t="shared" ref="F35" si="4">E35/E37</f>
        <v>0.17879795309361987</v>
      </c>
      <c r="G35" s="136">
        <f>SUM('Balance Sheet - Stakeholder 2'!$G$31:$G$34)</f>
        <v>61000</v>
      </c>
      <c r="H35" s="124">
        <f t="shared" ref="H35" si="5">G35/G37</f>
        <v>0.19092331768388107</v>
      </c>
    </row>
    <row r="36" spans="1:15">
      <c r="A36" s="115"/>
      <c r="B36" s="120"/>
      <c r="C36" s="120"/>
      <c r="D36" s="120"/>
      <c r="E36" s="120"/>
      <c r="F36" s="120"/>
      <c r="G36" s="120"/>
      <c r="H36" s="120"/>
    </row>
    <row r="37" spans="1:15" ht="16" thickBot="1">
      <c r="A37" s="115"/>
      <c r="B37" s="143" t="s">
        <v>209</v>
      </c>
      <c r="C37" s="144">
        <f>C23+C28+C35</f>
        <v>370250</v>
      </c>
      <c r="D37" s="145">
        <f>SUM('Balance Sheet - Stakeholder 2'!$D$17:$D$22,'Balance Sheet - Stakeholder 2'!$D$26:$D$27,'Balance Sheet - Stakeholder 2'!$D$31:$D$34)</f>
        <v>1.0000000000000002</v>
      </c>
      <c r="E37" s="144">
        <f>E23+E28+E35</f>
        <v>352532</v>
      </c>
      <c r="F37" s="145">
        <f>SUM('Balance Sheet - Stakeholder 2'!$D$17:$D$22,'Balance Sheet - Stakeholder 2'!$D$26:$D$27,'Balance Sheet - Stakeholder 2'!$D$31:$D$34)</f>
        <v>1.0000000000000002</v>
      </c>
      <c r="G37" s="144">
        <f>G23+G28+G35</f>
        <v>319500</v>
      </c>
      <c r="H37" s="145">
        <f>SUM('Balance Sheet - Stakeholder 2'!$D$17:$D$22,'Balance Sheet - Stakeholder 2'!$D$26:$D$27,'Balance Sheet - Stakeholder 2'!$D$31:$D$34)</f>
        <v>1.0000000000000002</v>
      </c>
    </row>
    <row r="38" spans="1:15" ht="14.7" thickTop="1">
      <c r="A38" s="115"/>
      <c r="B38" s="115"/>
      <c r="C38" s="125"/>
      <c r="D38" s="115"/>
      <c r="E38" s="125"/>
      <c r="F38" s="115"/>
      <c r="G38" s="125"/>
      <c r="H38" s="115"/>
    </row>
    <row r="39" spans="1:15" ht="15.7">
      <c r="A39" s="115"/>
      <c r="B39" s="121" t="s">
        <v>320</v>
      </c>
      <c r="C39" s="127">
        <f>C37-C65</f>
        <v>0</v>
      </c>
      <c r="D39" s="122">
        <f>IF($C$40=0,"-",C39/$C$40)</f>
        <v>0</v>
      </c>
      <c r="E39" s="127">
        <f>E37-E65</f>
        <v>0</v>
      </c>
      <c r="F39" s="122">
        <f t="shared" ref="F39:F40" si="6">IF($C$40=0,"-",E39/$C$40)</f>
        <v>0</v>
      </c>
      <c r="G39" s="127">
        <f>G37-G65</f>
        <v>0</v>
      </c>
      <c r="H39" s="122">
        <f t="shared" ref="H39:H40" si="7">IF($C$40=0,"-",G39/$C$40)</f>
        <v>0</v>
      </c>
    </row>
    <row r="40" spans="1:15" ht="15.7">
      <c r="A40" s="115"/>
      <c r="B40" s="121" t="s">
        <v>211</v>
      </c>
      <c r="C40" s="127">
        <f>C65+C39</f>
        <v>370250</v>
      </c>
      <c r="D40" s="122">
        <f>IF($C$40=0,"-",C40/$C$40)</f>
        <v>1</v>
      </c>
      <c r="E40" s="127">
        <f>E65+E39</f>
        <v>352532</v>
      </c>
      <c r="F40" s="122">
        <f t="shared" si="6"/>
        <v>0.95214584740040509</v>
      </c>
      <c r="G40" s="127">
        <f>G65+G39</f>
        <v>319500</v>
      </c>
      <c r="H40" s="122">
        <f t="shared" si="7"/>
        <v>0.86293045239702904</v>
      </c>
    </row>
    <row r="41" spans="1:15">
      <c r="E41" s="24"/>
    </row>
    <row r="42" spans="1:15">
      <c r="E42" s="24"/>
    </row>
    <row r="43" spans="1:15" ht="17" thickBot="1">
      <c r="B43" s="118" t="s">
        <v>181</v>
      </c>
      <c r="C43" s="128"/>
      <c r="D43" s="119" t="s">
        <v>180</v>
      </c>
      <c r="E43" s="128"/>
      <c r="F43" s="119" t="s">
        <v>180</v>
      </c>
      <c r="G43" s="128"/>
      <c r="H43" s="119" t="s">
        <v>180</v>
      </c>
    </row>
    <row r="44" spans="1:15" ht="14.7" thickTop="1">
      <c r="B44" s="115"/>
      <c r="C44" s="125"/>
      <c r="D44" s="115"/>
      <c r="E44" s="125"/>
      <c r="F44" s="115"/>
      <c r="G44" s="125"/>
      <c r="H44" s="115"/>
      <c r="M44" s="24"/>
      <c r="N44" s="24"/>
      <c r="O44" s="24"/>
    </row>
    <row r="45" spans="1:15" ht="14.7" thickBot="1">
      <c r="B45" s="132" t="s">
        <v>60</v>
      </c>
      <c r="C45" s="199"/>
      <c r="D45" s="134"/>
      <c r="E45" s="199"/>
      <c r="F45" s="134"/>
      <c r="G45" s="199"/>
      <c r="H45" s="134"/>
      <c r="M45" s="24"/>
      <c r="N45" s="24"/>
      <c r="O45" s="24"/>
    </row>
    <row r="46" spans="1:15">
      <c r="B46" s="148" t="s">
        <v>313</v>
      </c>
      <c r="C46" s="554">
        <v>100000</v>
      </c>
      <c r="D46" s="138"/>
      <c r="E46" s="554">
        <v>100000</v>
      </c>
      <c r="F46" s="138"/>
      <c r="G46" s="554">
        <v>90000</v>
      </c>
      <c r="H46" s="138"/>
      <c r="M46" s="24"/>
      <c r="N46" s="24"/>
      <c r="O46" s="24"/>
    </row>
    <row r="47" spans="1:15">
      <c r="B47" s="148" t="s">
        <v>314</v>
      </c>
      <c r="C47" s="554">
        <v>10000</v>
      </c>
      <c r="D47" s="138"/>
      <c r="E47" s="554">
        <v>22132</v>
      </c>
      <c r="F47" s="138"/>
      <c r="G47" s="554">
        <v>11975</v>
      </c>
      <c r="H47" s="138"/>
      <c r="M47" s="24"/>
      <c r="N47" s="24"/>
      <c r="O47" s="24"/>
    </row>
    <row r="48" spans="1:15" ht="14.7" thickBot="1">
      <c r="B48" s="148" t="s">
        <v>315</v>
      </c>
      <c r="C48" s="554">
        <v>157250</v>
      </c>
      <c r="D48" s="138"/>
      <c r="E48" s="554">
        <v>107900</v>
      </c>
      <c r="F48" s="138"/>
      <c r="G48" s="554">
        <v>83025</v>
      </c>
      <c r="H48" s="138"/>
      <c r="M48" s="24"/>
      <c r="N48" s="24"/>
      <c r="O48" s="24"/>
    </row>
    <row r="49" spans="2:15">
      <c r="B49" s="139" t="s">
        <v>319</v>
      </c>
      <c r="C49" s="140">
        <f>SUM(C46:C48)</f>
        <v>267250</v>
      </c>
      <c r="D49" s="123"/>
      <c r="E49" s="140">
        <f>SUM(E46:E48)</f>
        <v>230032</v>
      </c>
      <c r="F49" s="123"/>
      <c r="G49" s="140">
        <f>SUM(G46:G48)</f>
        <v>185000</v>
      </c>
      <c r="H49" s="123"/>
      <c r="M49" s="24"/>
      <c r="N49" s="24"/>
      <c r="O49" s="24"/>
    </row>
    <row r="50" spans="2:15">
      <c r="B50" s="115"/>
      <c r="C50" s="125"/>
      <c r="D50" s="115"/>
      <c r="E50" s="125"/>
      <c r="F50" s="115"/>
      <c r="G50" s="125"/>
      <c r="H50" s="115"/>
      <c r="M50" s="24"/>
      <c r="N50" s="24"/>
      <c r="O50" s="24"/>
    </row>
    <row r="51" spans="2:15" ht="14.7" thickBot="1">
      <c r="B51" s="132" t="s">
        <v>185</v>
      </c>
      <c r="C51" s="133" t="s">
        <v>183</v>
      </c>
      <c r="D51" s="134" t="s">
        <v>184</v>
      </c>
      <c r="E51" s="133" t="s">
        <v>183</v>
      </c>
      <c r="F51" s="134" t="s">
        <v>184</v>
      </c>
      <c r="G51" s="133" t="s">
        <v>183</v>
      </c>
      <c r="H51" s="134" t="s">
        <v>184</v>
      </c>
    </row>
    <row r="52" spans="2:15">
      <c r="B52" s="148" t="s">
        <v>187</v>
      </c>
      <c r="C52" s="551">
        <v>15000</v>
      </c>
      <c r="D52" s="138">
        <f>IFERROR('Balance Sheet - Stakeholder 2'!$C52/E,"-")</f>
        <v>4.051316677920324E-2</v>
      </c>
      <c r="E52" s="551">
        <v>6000</v>
      </c>
      <c r="F52" s="138">
        <f>IFERROR('Balance Sheet - Stakeholder 2'!$C52/E,"-")</f>
        <v>4.051316677920324E-2</v>
      </c>
      <c r="G52" s="551">
        <v>6000</v>
      </c>
      <c r="H52" s="138">
        <f>IFERROR('Balance Sheet - Stakeholder 2'!$C52/E,"-")</f>
        <v>4.051316677920324E-2</v>
      </c>
    </row>
    <row r="53" spans="2:15">
      <c r="B53" s="148" t="s">
        <v>189</v>
      </c>
      <c r="C53" s="552">
        <v>6000</v>
      </c>
      <c r="D53" s="138">
        <f>IFERROR('Balance Sheet - Stakeholder 2'!$C53/E,"-")</f>
        <v>1.6205266711681297E-2</v>
      </c>
      <c r="E53" s="552">
        <v>14500</v>
      </c>
      <c r="F53" s="138">
        <f>IFERROR('Balance Sheet - Stakeholder 2'!$C53/E,"-")</f>
        <v>1.6205266711681297E-2</v>
      </c>
      <c r="G53" s="552">
        <v>14500</v>
      </c>
      <c r="H53" s="138">
        <f>IFERROR('Balance Sheet - Stakeholder 2'!$C53/E,"-")</f>
        <v>1.6205266711681297E-2</v>
      </c>
    </row>
    <row r="54" spans="2:15">
      <c r="B54" s="148" t="s">
        <v>191</v>
      </c>
      <c r="C54" s="552">
        <v>15000</v>
      </c>
      <c r="D54" s="138">
        <f>IFERROR('Balance Sheet - Stakeholder 2'!$C54/E,"-")</f>
        <v>4.051316677920324E-2</v>
      </c>
      <c r="E54" s="552">
        <v>10000</v>
      </c>
      <c r="F54" s="138">
        <f>IFERROR('Balance Sheet - Stakeholder 2'!$C54/E,"-")</f>
        <v>4.051316677920324E-2</v>
      </c>
      <c r="G54" s="552">
        <v>10000</v>
      </c>
      <c r="H54" s="138">
        <f>IFERROR('Balance Sheet - Stakeholder 2'!$C54/E,"-")</f>
        <v>4.051316677920324E-2</v>
      </c>
    </row>
    <row r="55" spans="2:15" ht="14.7" thickBot="1">
      <c r="B55" s="148" t="s">
        <v>193</v>
      </c>
      <c r="C55" s="553">
        <v>8000</v>
      </c>
      <c r="D55" s="138">
        <f>IFERROR('Balance Sheet - Stakeholder 2'!$C55/E,"-")</f>
        <v>2.160702228224173E-2</v>
      </c>
      <c r="E55" s="553">
        <v>8000</v>
      </c>
      <c r="F55" s="138">
        <f>IFERROR('Balance Sheet - Stakeholder 2'!$C55/E,"-")</f>
        <v>2.160702228224173E-2</v>
      </c>
      <c r="G55" s="553">
        <v>8000</v>
      </c>
      <c r="H55" s="138">
        <f>IFERROR('Balance Sheet - Stakeholder 2'!$C55/E,"-")</f>
        <v>2.160702228224173E-2</v>
      </c>
    </row>
    <row r="56" spans="2:15">
      <c r="B56" s="139" t="s">
        <v>195</v>
      </c>
      <c r="C56" s="140">
        <f>SUBTOTAL(109,'Balance Sheet - Stakeholder 2'!$C$52:$C$55)</f>
        <v>44000</v>
      </c>
      <c r="D56" s="123">
        <f>SUBTOTAL(109,'Balance Sheet - Stakeholder 2'!$D$52:$D$55)</f>
        <v>0.11883862255232952</v>
      </c>
      <c r="E56" s="140">
        <f>SUBTOTAL(109,'Balance Sheet - Stakeholder 2'!$E$52:$E$55)</f>
        <v>38500</v>
      </c>
      <c r="F56" s="123">
        <f>SUBTOTAL(109,'Balance Sheet - Stakeholder 2'!$D$52:$D$55)</f>
        <v>0.11883862255232952</v>
      </c>
      <c r="G56" s="140">
        <f>SUBTOTAL(109,'Balance Sheet - Stakeholder 2'!$G$52:$G$55)</f>
        <v>38500</v>
      </c>
      <c r="H56" s="123">
        <f>SUBTOTAL(109,'Balance Sheet - Stakeholder 2'!$D$52:$D$55)</f>
        <v>0.11883862255232952</v>
      </c>
    </row>
    <row r="57" spans="2:15">
      <c r="B57" s="115"/>
      <c r="C57" s="125"/>
      <c r="D57" s="115"/>
      <c r="E57" s="125"/>
      <c r="F57" s="115"/>
      <c r="G57" s="125"/>
      <c r="H57" s="115"/>
    </row>
    <row r="58" spans="2:15" ht="14.7" thickBot="1">
      <c r="B58" s="132" t="s">
        <v>199</v>
      </c>
      <c r="C58" s="133" t="s">
        <v>183</v>
      </c>
      <c r="D58" s="134" t="s">
        <v>184</v>
      </c>
      <c r="E58" s="133" t="s">
        <v>183</v>
      </c>
      <c r="F58" s="134" t="s">
        <v>184</v>
      </c>
      <c r="G58" s="133" t="s">
        <v>183</v>
      </c>
      <c r="H58" s="134" t="s">
        <v>184</v>
      </c>
    </row>
    <row r="59" spans="2:15">
      <c r="B59" s="148" t="s">
        <v>201</v>
      </c>
      <c r="C59" s="551">
        <v>45000</v>
      </c>
      <c r="D59" s="138">
        <f>IFERROR('Balance Sheet - Stakeholder 2'!$C59/E,"-")</f>
        <v>0.12153950033760973</v>
      </c>
      <c r="E59" s="551">
        <v>40000</v>
      </c>
      <c r="F59" s="138">
        <f>IFERROR('Balance Sheet - Stakeholder 2'!$C59/E,"-")</f>
        <v>0.12153950033760973</v>
      </c>
      <c r="G59" s="551">
        <v>40000</v>
      </c>
      <c r="H59" s="138">
        <f>IFERROR('Balance Sheet - Stakeholder 2'!$C59/E,"-")</f>
        <v>0.12153950033760973</v>
      </c>
    </row>
    <row r="60" spans="2:15">
      <c r="B60" s="148" t="s">
        <v>203</v>
      </c>
      <c r="C60" s="552">
        <v>2000</v>
      </c>
      <c r="D60" s="138">
        <f>IFERROR('Balance Sheet - Stakeholder 2'!$C60/E,"-")</f>
        <v>5.4017555705604325E-3</v>
      </c>
      <c r="E60" s="552">
        <v>34000</v>
      </c>
      <c r="F60" s="138">
        <f>IFERROR('Balance Sheet - Stakeholder 2'!$C60/E,"-")</f>
        <v>5.4017555705604325E-3</v>
      </c>
      <c r="G60" s="552">
        <v>50000</v>
      </c>
      <c r="H60" s="138">
        <f>IFERROR('Balance Sheet - Stakeholder 2'!$C60/E,"-")</f>
        <v>5.4017555705604325E-3</v>
      </c>
    </row>
    <row r="61" spans="2:15">
      <c r="B61" s="148" t="s">
        <v>194</v>
      </c>
      <c r="C61" s="552">
        <v>8000</v>
      </c>
      <c r="D61" s="138">
        <f>IFERROR('Balance Sheet - Stakeholder 2'!$C61/E,"-")</f>
        <v>2.160702228224173E-2</v>
      </c>
      <c r="E61" s="552">
        <v>6000</v>
      </c>
      <c r="F61" s="138">
        <f>IFERROR('Balance Sheet - Stakeholder 2'!$C61/E,"-")</f>
        <v>2.160702228224173E-2</v>
      </c>
      <c r="G61" s="552">
        <v>4000</v>
      </c>
      <c r="H61" s="138">
        <f>IFERROR('Balance Sheet - Stakeholder 2'!$C61/E,"-")</f>
        <v>2.160702228224173E-2</v>
      </c>
    </row>
    <row r="62" spans="2:15" ht="14.7" thickBot="1">
      <c r="B62" s="148" t="s">
        <v>204</v>
      </c>
      <c r="C62" s="553">
        <v>4000</v>
      </c>
      <c r="D62" s="138">
        <f>IFERROR('Balance Sheet - Stakeholder 2'!$C62/E,"-")</f>
        <v>1.0803511141120865E-2</v>
      </c>
      <c r="E62" s="553">
        <v>4000</v>
      </c>
      <c r="F62" s="138">
        <f>IFERROR('Balance Sheet - Stakeholder 2'!$C62/E,"-")</f>
        <v>1.0803511141120865E-2</v>
      </c>
      <c r="G62" s="553">
        <v>2000</v>
      </c>
      <c r="H62" s="138">
        <f>IFERROR('Balance Sheet - Stakeholder 2'!$C62/E,"-")</f>
        <v>1.0803511141120865E-2</v>
      </c>
    </row>
    <row r="63" spans="2:15">
      <c r="B63" s="139" t="s">
        <v>4</v>
      </c>
      <c r="C63" s="140">
        <f>SUM('Balance Sheet - Stakeholder 2'!$C$59:$C$62)</f>
        <v>59000</v>
      </c>
      <c r="D63" s="123">
        <f>SUBTOTAL(109,'Balance Sheet - Stakeholder 2'!$D$59:$D$62)</f>
        <v>0.15935178933153274</v>
      </c>
      <c r="E63" s="140">
        <f>SUM('Balance Sheet - Stakeholder 2'!$E$59:$E$62)</f>
        <v>84000</v>
      </c>
      <c r="F63" s="123">
        <f>SUBTOTAL(109,'Balance Sheet - Stakeholder 2'!$D$59:$D$62)</f>
        <v>0.15935178933153274</v>
      </c>
      <c r="G63" s="140">
        <f>SUM('Balance Sheet - Stakeholder 2'!$G$59:$G$62)</f>
        <v>96000</v>
      </c>
      <c r="H63" s="123">
        <f>SUBTOTAL(109,'Balance Sheet - Stakeholder 2'!$D$59:$D$62)</f>
        <v>0.15935178933153274</v>
      </c>
    </row>
    <row r="64" spans="2:15">
      <c r="B64" s="120"/>
      <c r="C64" s="120"/>
      <c r="D64" s="120"/>
      <c r="E64" s="120"/>
      <c r="F64" s="120"/>
      <c r="G64" s="120"/>
      <c r="H64" s="120"/>
    </row>
    <row r="65" spans="2:8" ht="16" thickBot="1">
      <c r="B65" s="143" t="s">
        <v>245</v>
      </c>
      <c r="C65" s="144">
        <f>C49+C56+C63</f>
        <v>370250</v>
      </c>
      <c r="D65" s="145">
        <f>IFERROR(C65/E,"-")</f>
        <v>1</v>
      </c>
      <c r="E65" s="144">
        <f>E49+E56+E63</f>
        <v>352532</v>
      </c>
      <c r="F65" s="145">
        <f>IFERROR(E65/E,"-")</f>
        <v>0.95214584740040509</v>
      </c>
      <c r="G65" s="144">
        <f>G49+G56+G63</f>
        <v>319500</v>
      </c>
      <c r="H65" s="145">
        <f>IFERROR(G65/E,"-")</f>
        <v>0.86293045239702904</v>
      </c>
    </row>
    <row r="66" spans="2:8" ht="14.7" thickTop="1"/>
    <row r="67" spans="2:8" hidden="1">
      <c r="B67" t="s">
        <v>251</v>
      </c>
      <c r="C67" s="152">
        <f>'Pre-conditions'!B9+Financing!B3*'Pre-conditions'!B8</f>
        <v>0.105</v>
      </c>
    </row>
    <row r="68" spans="2:8" hidden="1">
      <c r="B68" t="s">
        <v>252</v>
      </c>
      <c r="C68" s="152">
        <f>('Pre-conditions'!B9+'Pre-conditions'!B11)*(1-'Pre-conditions'!B12)</f>
        <v>6.9999999999999993E-2</v>
      </c>
    </row>
    <row r="69" spans="2:8" ht="14.7" thickBot="1">
      <c r="B69" s="159" t="s">
        <v>129</v>
      </c>
      <c r="C69" s="160">
        <f>(D39*$C67)+(D40-D39)*$C68</f>
        <v>6.9999999999999993E-2</v>
      </c>
      <c r="D69" s="159"/>
      <c r="E69" s="160">
        <f>(F39*$C67)+(F40-F39)*$C68</f>
        <v>6.6650209318028356E-2</v>
      </c>
      <c r="F69" s="159"/>
      <c r="G69" s="160">
        <f>(H39*$C67)+(H40-H39)*$C68</f>
        <v>6.0405131667792024E-2</v>
      </c>
      <c r="H69" s="159"/>
    </row>
  </sheetData>
  <sheetProtection algorithmName="SHA-512" hashValue="5zpelopDBXeSJ5AMfMdXNa6qGIpIMeVzhjbY1ya6gMHkPTn5MOuucUtQtPcAUgbDEhpRR7syA6LQeTxl315mmA==" saltValue="R1OrdCa5id3MeE6OSOauxQ==" spinCount="100000" sheet="1" objects="1" scenarios="1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9"/>
  <sheetViews>
    <sheetView zoomScale="70" zoomScaleNormal="70" workbookViewId="0">
      <selection activeCell="L22" sqref="L22"/>
    </sheetView>
  </sheetViews>
  <sheetFormatPr defaultRowHeight="14.35"/>
  <cols>
    <col min="1" max="1" width="2" customWidth="1"/>
    <col min="2" max="2" width="51.703125" customWidth="1"/>
    <col min="3" max="3" width="17.41015625" style="24" customWidth="1"/>
    <col min="4" max="6" width="17.41015625" customWidth="1"/>
    <col min="7" max="7" width="17.41015625" style="24" customWidth="1"/>
    <col min="8" max="9" width="17.41015625" customWidth="1"/>
  </cols>
  <sheetData>
    <row r="1" spans="1:8" ht="14.7" thickBot="1">
      <c r="A1" s="570" t="s">
        <v>174</v>
      </c>
      <c r="B1" s="570"/>
      <c r="C1" s="570"/>
      <c r="D1" s="570"/>
      <c r="E1" s="161" t="s">
        <v>257</v>
      </c>
      <c r="F1" s="549" t="str">
        <f>'Applicant information'!B12</f>
        <v>N/A</v>
      </c>
      <c r="G1" s="549"/>
      <c r="H1" s="549"/>
    </row>
    <row r="2" spans="1:8" ht="15" thickTop="1" thickBot="1">
      <c r="A2" s="570"/>
      <c r="B2" s="570"/>
      <c r="C2" s="570"/>
      <c r="D2" s="570"/>
      <c r="E2" s="115"/>
      <c r="G2" s="125"/>
      <c r="H2" s="115"/>
    </row>
    <row r="3" spans="1:8" ht="16" thickTop="1">
      <c r="A3" s="115"/>
      <c r="B3" s="116" t="s">
        <v>214</v>
      </c>
      <c r="C3" s="142">
        <f>'Pre-conditions'!B4-2</f>
        <v>2013</v>
      </c>
      <c r="D3" s="141"/>
      <c r="E3" s="142">
        <f>'Pre-conditions'!B4-3</f>
        <v>2012</v>
      </c>
      <c r="F3" s="141"/>
      <c r="G3" s="142">
        <f>'Pre-conditions'!B4-4</f>
        <v>2011</v>
      </c>
      <c r="H3" s="141"/>
    </row>
    <row r="4" spans="1:8" ht="15.7">
      <c r="A4" s="115"/>
      <c r="B4" s="117" t="s">
        <v>243</v>
      </c>
      <c r="C4" s="153" t="str">
        <f>IFERROR('Balance Sheet - Stakeholder 3'!$C$23/'Balance Sheet - Stakeholder 3'!$C$56,"-")</f>
        <v>-</v>
      </c>
      <c r="D4" s="115"/>
      <c r="E4" s="153" t="str">
        <f>IFERROR('Balance Sheet - Stakeholder 3'!$E$23/'Balance Sheet - Stakeholder 3'!$E$56,"-")</f>
        <v>-</v>
      </c>
      <c r="F4" s="115"/>
      <c r="G4" s="153" t="str">
        <f>IFERROR('Balance Sheet - Stakeholder 3'!$G$23/'Balance Sheet - Stakeholder 3'!$G$56,"-")</f>
        <v>-</v>
      </c>
      <c r="H4" s="115"/>
    </row>
    <row r="5" spans="1:8" ht="15.7">
      <c r="A5" s="115"/>
      <c r="B5" s="117" t="s">
        <v>175</v>
      </c>
      <c r="C5" s="153" t="str">
        <f>IFERROR(('Balance Sheet - Stakeholder 3'!$C$23-C20)/'Balance Sheet - Stakeholder 3'!$C$56,"-")</f>
        <v>-</v>
      </c>
      <c r="D5" s="115"/>
      <c r="E5" s="153" t="str">
        <f>IFERROR(('Balance Sheet - Stakeholder 3'!$E$23-E20)/'Balance Sheet - Stakeholder 3'!$E$56,"-")</f>
        <v>-</v>
      </c>
      <c r="F5" s="115"/>
      <c r="G5" s="153" t="str">
        <f>IFERROR(('Balance Sheet - Stakeholder 3'!$G$23-G20)/'Balance Sheet - Stakeholder 3'!$G$56,"-")</f>
        <v>-</v>
      </c>
      <c r="H5" s="115"/>
    </row>
    <row r="6" spans="1:8" ht="15.7">
      <c r="A6" s="115"/>
      <c r="B6" s="117" t="s">
        <v>177</v>
      </c>
      <c r="C6" s="153" t="e">
        <f>C17/C56</f>
        <v>#DIV/0!</v>
      </c>
      <c r="D6" s="115"/>
      <c r="E6" s="153" t="str">
        <f>IFERROR(E17/'Balance Sheet - Stakeholder 3'!$E$56,"-")</f>
        <v>-</v>
      </c>
      <c r="F6" s="115"/>
      <c r="G6" s="153" t="str">
        <f>IFERROR(G17/'Balance Sheet - Stakeholder 3'!$G$56,"-")</f>
        <v>-</v>
      </c>
      <c r="H6" s="115"/>
    </row>
    <row r="7" spans="1:8" ht="17.25" customHeight="1">
      <c r="A7" s="115"/>
      <c r="B7" s="117" t="s">
        <v>213</v>
      </c>
      <c r="C7" s="131">
        <f>IFERROR(('Balance Sheet - Stakeholder 3'!$C$23-'Balance Sheet - Stakeholder 3'!$C$56),"-")</f>
        <v>0</v>
      </c>
      <c r="D7" s="115"/>
      <c r="E7" s="131">
        <f>IFERROR(('Balance Sheet - Stakeholder 3'!$E$23-'Balance Sheet - Stakeholder 3'!$E$56),"-")</f>
        <v>0</v>
      </c>
      <c r="F7" s="115"/>
      <c r="G7" s="131">
        <f>IFERROR(('Balance Sheet - Stakeholder 3'!$G$23-'Balance Sheet - Stakeholder 3'!$G$56),"-")</f>
        <v>0</v>
      </c>
      <c r="H7" s="115"/>
    </row>
    <row r="8" spans="1:8" ht="15.75" customHeight="1">
      <c r="A8" s="115"/>
      <c r="B8" s="117" t="s">
        <v>176</v>
      </c>
      <c r="C8" s="153" t="str">
        <f>IFERROR((C59+C52)/C49,"-")</f>
        <v>-</v>
      </c>
      <c r="D8" s="115"/>
      <c r="E8" s="153" t="str">
        <f>IFERROR((E59+E52)/E49,"-")</f>
        <v>-</v>
      </c>
      <c r="F8" s="115"/>
      <c r="G8" s="153" t="str">
        <f>IFERROR((G59+G52)/G49,"-")</f>
        <v>-</v>
      </c>
      <c r="H8" s="115"/>
    </row>
    <row r="9" spans="1:8" ht="17.25" customHeight="1">
      <c r="A9" s="115"/>
      <c r="B9" s="117" t="s">
        <v>178</v>
      </c>
      <c r="C9" s="153" t="str">
        <f>IFERROR((C59+C52)/C37,"-")</f>
        <v>-</v>
      </c>
      <c r="D9" s="115"/>
      <c r="E9" s="153" t="str">
        <f t="shared" ref="E9" si="0">IFERROR((E59+E52)/E37,"-")</f>
        <v>-</v>
      </c>
      <c r="F9" s="115"/>
      <c r="G9" s="153" t="str">
        <f t="shared" ref="G9" si="1">IFERROR((G59+G52)/G37,"-")</f>
        <v>-</v>
      </c>
      <c r="H9" s="115"/>
    </row>
    <row r="10" spans="1:8" ht="17.25" customHeight="1">
      <c r="A10" s="115"/>
      <c r="B10" s="117" t="s">
        <v>322</v>
      </c>
      <c r="C10" s="153">
        <f>'Income Sheet - Stakeholder 1'!C12/(('Balance Sheet - Stakeholder 1'!E37+'Balance Sheet - Stakeholder 1'!C37)/2)</f>
        <v>0.1008434463139854</v>
      </c>
      <c r="D10" s="115"/>
      <c r="E10" s="153">
        <f>'Income Sheet - Stakeholder 1'!E12/(('Balance Sheet - Stakeholder 1'!G37+'Balance Sheet - Stakeholder 1'!E37)/2)</f>
        <v>0.16748533381013503</v>
      </c>
      <c r="F10" s="115"/>
      <c r="G10" s="153">
        <f>'Income Sheet - Stakeholder 1'!G12/(('Balance Sheet - Stakeholder 1'!I37+'Balance Sheet - Stakeholder 1'!G37)/2)</f>
        <v>0.16370842075225889</v>
      </c>
      <c r="H10" s="115"/>
    </row>
    <row r="11" spans="1:8" ht="17.25" customHeight="1">
      <c r="A11" s="115"/>
      <c r="B11" s="117" t="s">
        <v>323</v>
      </c>
      <c r="C11" s="153">
        <f>'Income Sheet - Stakeholder 1'!C43/('Balance Sheet - Stakeholder 1'!C37-'Balance Sheet - Stakeholder 1'!C56)</f>
        <v>7.3444744858604041E-2</v>
      </c>
      <c r="D11" s="115"/>
      <c r="E11" s="153">
        <f>'Income Sheet - Stakeholder 1'!E43/('Balance Sheet - Stakeholder 1'!E37-'Balance Sheet - Stakeholder 1'!E56)</f>
        <v>0.12877214894211775</v>
      </c>
      <c r="F11" s="115"/>
      <c r="G11" s="153">
        <f>'Income Sheet - Stakeholder 1'!G43/('Balance Sheet - Stakeholder 1'!G37-'Balance Sheet - Stakeholder 1'!G56)</f>
        <v>6.9133974874563783E-2</v>
      </c>
      <c r="H11" s="115"/>
    </row>
    <row r="12" spans="1:8" ht="17.25" customHeight="1">
      <c r="A12" s="115"/>
      <c r="B12" s="117" t="s">
        <v>244</v>
      </c>
      <c r="C12" s="153" t="e">
        <f>(C52+C59)/(C37-C65+C49)</f>
        <v>#DIV/0!</v>
      </c>
      <c r="D12" s="115"/>
      <c r="E12" s="153" t="e">
        <f>(E52+E59)/(E37-E65+E49)</f>
        <v>#DIV/0!</v>
      </c>
      <c r="F12" s="115"/>
      <c r="G12" s="153" t="e">
        <f>(G52+G59)/(G37-G65+G49)</f>
        <v>#DIV/0!</v>
      </c>
      <c r="H12" s="115"/>
    </row>
    <row r="13" spans="1:8" ht="23.35">
      <c r="A13" s="115"/>
      <c r="B13" s="129"/>
      <c r="C13" s="125"/>
      <c r="D13" s="115"/>
      <c r="E13" s="125"/>
      <c r="F13" s="115"/>
      <c r="G13" s="125"/>
      <c r="H13" s="115"/>
    </row>
    <row r="14" spans="1:8" ht="17" thickBot="1">
      <c r="A14" s="115"/>
      <c r="B14" s="118" t="s">
        <v>179</v>
      </c>
      <c r="C14" s="126"/>
      <c r="D14" s="119" t="s">
        <v>180</v>
      </c>
      <c r="E14" s="126"/>
      <c r="F14" s="119" t="s">
        <v>180</v>
      </c>
      <c r="G14" s="126"/>
      <c r="H14" s="119" t="s">
        <v>180</v>
      </c>
    </row>
    <row r="15" spans="1:8" ht="14.7" thickTop="1">
      <c r="A15" s="115"/>
      <c r="B15" s="115"/>
      <c r="C15" s="125"/>
      <c r="D15" s="115"/>
      <c r="E15" s="125"/>
      <c r="F15" s="115"/>
      <c r="G15" s="125"/>
      <c r="H15" s="115"/>
    </row>
    <row r="16" spans="1:8" ht="14.7" thickBot="1">
      <c r="A16" s="115"/>
      <c r="B16" s="132" t="s">
        <v>182</v>
      </c>
      <c r="C16" s="133" t="s">
        <v>212</v>
      </c>
      <c r="D16" s="134" t="s">
        <v>184</v>
      </c>
      <c r="E16" s="133" t="s">
        <v>212</v>
      </c>
      <c r="F16" s="134" t="s">
        <v>184</v>
      </c>
      <c r="G16" s="133" t="s">
        <v>212</v>
      </c>
      <c r="H16" s="134" t="s">
        <v>184</v>
      </c>
    </row>
    <row r="17" spans="1:8">
      <c r="A17" s="115"/>
      <c r="B17" s="148" t="s">
        <v>186</v>
      </c>
      <c r="C17" s="551"/>
      <c r="D17" s="138" t="e">
        <f>'Balance Sheet - Stakeholder 3'!$C17/C$37</f>
        <v>#DIV/0!</v>
      </c>
      <c r="E17" s="551"/>
      <c r="F17" s="138" t="e">
        <f>'Balance Sheet - Stakeholder 3'!$C17/E$37</f>
        <v>#DIV/0!</v>
      </c>
      <c r="G17" s="551"/>
      <c r="H17" s="138" t="e">
        <f>'Balance Sheet - Stakeholder 3'!$C17/G$37</f>
        <v>#DIV/0!</v>
      </c>
    </row>
    <row r="18" spans="1:8">
      <c r="A18" s="115"/>
      <c r="B18" s="148" t="s">
        <v>188</v>
      </c>
      <c r="C18" s="552"/>
      <c r="D18" s="138" t="e">
        <f>'Balance Sheet - Stakeholder 3'!$C18/C$37</f>
        <v>#DIV/0!</v>
      </c>
      <c r="E18" s="552"/>
      <c r="F18" s="138" t="e">
        <f>'Balance Sheet - Stakeholder 3'!$C18/E$37</f>
        <v>#DIV/0!</v>
      </c>
      <c r="G18" s="552"/>
      <c r="H18" s="138" t="e">
        <f>'Balance Sheet - Stakeholder 3'!$C18/G$37</f>
        <v>#DIV/0!</v>
      </c>
    </row>
    <row r="19" spans="1:8">
      <c r="A19" s="115"/>
      <c r="B19" s="148" t="s">
        <v>190</v>
      </c>
      <c r="C19" s="552"/>
      <c r="D19" s="138" t="e">
        <f>'Balance Sheet - Stakeholder 3'!$C19/C$37</f>
        <v>#DIV/0!</v>
      </c>
      <c r="E19" s="552"/>
      <c r="F19" s="138" t="e">
        <f>'Balance Sheet - Stakeholder 3'!$C19/E$37</f>
        <v>#DIV/0!</v>
      </c>
      <c r="G19" s="552"/>
      <c r="H19" s="138" t="e">
        <f>'Balance Sheet - Stakeholder 3'!$C19/G$37</f>
        <v>#DIV/0!</v>
      </c>
    </row>
    <row r="20" spans="1:8">
      <c r="A20" s="115"/>
      <c r="B20" s="148" t="s">
        <v>192</v>
      </c>
      <c r="C20" s="552"/>
      <c r="D20" s="138" t="e">
        <f>'Balance Sheet - Stakeholder 3'!$C20/C$37</f>
        <v>#DIV/0!</v>
      </c>
      <c r="E20" s="552"/>
      <c r="F20" s="138" t="e">
        <f>'Balance Sheet - Stakeholder 3'!$C20/E$37</f>
        <v>#DIV/0!</v>
      </c>
      <c r="G20" s="552"/>
      <c r="H20" s="138" t="e">
        <f>'Balance Sheet - Stakeholder 3'!$C20/G$37</f>
        <v>#DIV/0!</v>
      </c>
    </row>
    <row r="21" spans="1:8">
      <c r="A21" s="115"/>
      <c r="B21" s="148" t="s">
        <v>194</v>
      </c>
      <c r="C21" s="552"/>
      <c r="D21" s="138" t="e">
        <f>'Balance Sheet - Stakeholder 3'!$C21/C$37</f>
        <v>#DIV/0!</v>
      </c>
      <c r="E21" s="552"/>
      <c r="F21" s="138" t="e">
        <f>'Balance Sheet - Stakeholder 3'!$C21/E$37</f>
        <v>#DIV/0!</v>
      </c>
      <c r="G21" s="552"/>
      <c r="H21" s="138" t="e">
        <f>'Balance Sheet - Stakeholder 3'!$C21/G$37</f>
        <v>#DIV/0!</v>
      </c>
    </row>
    <row r="22" spans="1:8" ht="14.7" thickBot="1">
      <c r="A22" s="115"/>
      <c r="B22" s="148" t="s">
        <v>196</v>
      </c>
      <c r="C22" s="553"/>
      <c r="D22" s="138" t="e">
        <f>'Balance Sheet - Stakeholder 3'!$C22/C$37</f>
        <v>#DIV/0!</v>
      </c>
      <c r="E22" s="553"/>
      <c r="F22" s="138" t="e">
        <f>'Balance Sheet - Stakeholder 3'!$C22/E$37</f>
        <v>#DIV/0!</v>
      </c>
      <c r="G22" s="553"/>
      <c r="H22" s="138" t="e">
        <f>'Balance Sheet - Stakeholder 3'!$C22/G$37</f>
        <v>#DIV/0!</v>
      </c>
    </row>
    <row r="23" spans="1:8">
      <c r="A23" s="115"/>
      <c r="B23" s="135" t="s">
        <v>197</v>
      </c>
      <c r="C23" s="136">
        <f>SUBTOTAL(109,'Balance Sheet - Stakeholder 3'!$C$17:$C$22)</f>
        <v>0</v>
      </c>
      <c r="D23" s="130" t="e">
        <f>C23/C37</f>
        <v>#DIV/0!</v>
      </c>
      <c r="E23" s="136">
        <f>SUBTOTAL(109,'Balance Sheet - Stakeholder 3'!$E$17:$E$22)</f>
        <v>0</v>
      </c>
      <c r="F23" s="130" t="e">
        <f t="shared" ref="F23" si="2">E23/E37</f>
        <v>#DIV/0!</v>
      </c>
      <c r="G23" s="136">
        <f>SUBTOTAL(109,'Balance Sheet - Stakeholder 3'!$G$17:$G$22)</f>
        <v>0</v>
      </c>
      <c r="H23" s="130" t="e">
        <f t="shared" ref="H23" si="3">G23/G37</f>
        <v>#DIV/0!</v>
      </c>
    </row>
    <row r="24" spans="1:8">
      <c r="A24" s="115"/>
      <c r="B24" s="120"/>
      <c r="C24" s="120"/>
      <c r="D24" s="120"/>
      <c r="E24" s="120"/>
      <c r="F24" s="120"/>
      <c r="G24" s="120"/>
      <c r="H24" s="120"/>
    </row>
    <row r="25" spans="1:8" ht="14.7" thickBot="1">
      <c r="A25" s="115"/>
      <c r="B25" s="132" t="s">
        <v>198</v>
      </c>
      <c r="C25" s="133" t="s">
        <v>183</v>
      </c>
      <c r="D25" s="134" t="s">
        <v>184</v>
      </c>
      <c r="E25" s="133" t="s">
        <v>183</v>
      </c>
      <c r="F25" s="134" t="s">
        <v>184</v>
      </c>
      <c r="G25" s="133" t="s">
        <v>183</v>
      </c>
      <c r="H25" s="134" t="s">
        <v>184</v>
      </c>
    </row>
    <row r="26" spans="1:8">
      <c r="A26" s="115"/>
      <c r="B26" s="148" t="s">
        <v>200</v>
      </c>
      <c r="C26" s="551"/>
      <c r="D26" s="138" t="e">
        <f>'Balance Sheet - Stakeholder 3'!$C26/C37</f>
        <v>#DIV/0!</v>
      </c>
      <c r="E26" s="551"/>
      <c r="F26" s="138" t="e">
        <f>'Balance Sheet - Stakeholder 3'!$C26/E37</f>
        <v>#DIV/0!</v>
      </c>
      <c r="G26" s="551"/>
      <c r="H26" s="138" t="e">
        <f>'Balance Sheet - Stakeholder 3'!$C26/G37</f>
        <v>#DIV/0!</v>
      </c>
    </row>
    <row r="27" spans="1:8" ht="14.7" thickBot="1">
      <c r="A27" s="115"/>
      <c r="B27" s="148" t="s">
        <v>202</v>
      </c>
      <c r="C27" s="553"/>
      <c r="D27" s="138" t="e">
        <f>'Balance Sheet - Stakeholder 3'!$C27/C37</f>
        <v>#DIV/0!</v>
      </c>
      <c r="E27" s="553"/>
      <c r="F27" s="138" t="e">
        <f>'Balance Sheet - Stakeholder 3'!$C27/E37</f>
        <v>#DIV/0!</v>
      </c>
      <c r="G27" s="553"/>
      <c r="H27" s="138" t="e">
        <f>'Balance Sheet - Stakeholder 3'!$C27/G37</f>
        <v>#DIV/0!</v>
      </c>
    </row>
    <row r="28" spans="1:8">
      <c r="A28" s="115"/>
      <c r="B28" s="135" t="s">
        <v>4</v>
      </c>
      <c r="C28" s="136">
        <f>SUM('Balance Sheet - Stakeholder 3'!$C$26:$C$27)</f>
        <v>0</v>
      </c>
      <c r="D28" s="130" t="e">
        <f>C28/C37</f>
        <v>#DIV/0!</v>
      </c>
      <c r="E28" s="136">
        <f>SUM('Balance Sheet - Stakeholder 3'!$E$26:$E$27)</f>
        <v>0</v>
      </c>
      <c r="F28" s="130" t="e">
        <f t="shared" ref="F28" si="4">E28/E37</f>
        <v>#DIV/0!</v>
      </c>
      <c r="G28" s="136">
        <f>SUM('Balance Sheet - Stakeholder 3'!$G$26:$G$27)</f>
        <v>0</v>
      </c>
      <c r="H28" s="130" t="e">
        <f t="shared" ref="H28" si="5">G28/G37</f>
        <v>#DIV/0!</v>
      </c>
    </row>
    <row r="29" spans="1:8">
      <c r="A29" s="115"/>
      <c r="B29" s="120"/>
      <c r="C29" s="120"/>
      <c r="D29" s="120"/>
      <c r="E29" s="120"/>
      <c r="F29" s="120"/>
      <c r="G29" s="120"/>
      <c r="H29" s="120"/>
    </row>
    <row r="30" spans="1:8" ht="14.7" thickBot="1">
      <c r="A30" s="115"/>
      <c r="B30" s="132" t="s">
        <v>205</v>
      </c>
      <c r="C30" s="133" t="s">
        <v>183</v>
      </c>
      <c r="D30" s="134" t="s">
        <v>184</v>
      </c>
      <c r="E30" s="133" t="s">
        <v>183</v>
      </c>
      <c r="F30" s="134" t="s">
        <v>184</v>
      </c>
      <c r="G30" s="133" t="s">
        <v>183</v>
      </c>
      <c r="H30" s="134" t="s">
        <v>184</v>
      </c>
    </row>
    <row r="31" spans="1:8">
      <c r="A31" s="115"/>
      <c r="B31" s="148" t="s">
        <v>206</v>
      </c>
      <c r="C31" s="551"/>
      <c r="D31" s="138" t="e">
        <f>'Balance Sheet - Stakeholder 3'!$C31/C$37</f>
        <v>#DIV/0!</v>
      </c>
      <c r="E31" s="551"/>
      <c r="F31" s="138" t="e">
        <f>'Balance Sheet - Stakeholder 3'!$C31/E$37</f>
        <v>#DIV/0!</v>
      </c>
      <c r="G31" s="551"/>
      <c r="H31" s="138" t="e">
        <f>'Balance Sheet - Stakeholder 3'!$C31/G$37</f>
        <v>#DIV/0!</v>
      </c>
    </row>
    <row r="32" spans="1:8">
      <c r="A32" s="115"/>
      <c r="B32" s="148" t="s">
        <v>207</v>
      </c>
      <c r="C32" s="552"/>
      <c r="D32" s="138" t="e">
        <f>'Balance Sheet - Stakeholder 3'!$C32/C$37</f>
        <v>#DIV/0!</v>
      </c>
      <c r="E32" s="552"/>
      <c r="F32" s="138" t="e">
        <f>'Balance Sheet - Stakeholder 3'!$C32/E$37</f>
        <v>#DIV/0!</v>
      </c>
      <c r="G32" s="552"/>
      <c r="H32" s="138" t="e">
        <f>'Balance Sheet - Stakeholder 3'!$C32/G$37</f>
        <v>#DIV/0!</v>
      </c>
    </row>
    <row r="33" spans="1:15">
      <c r="A33" s="115"/>
      <c r="B33" s="148" t="s">
        <v>194</v>
      </c>
      <c r="C33" s="552"/>
      <c r="D33" s="138" t="e">
        <f>'Balance Sheet - Stakeholder 3'!$C33/C$37</f>
        <v>#DIV/0!</v>
      </c>
      <c r="E33" s="552"/>
      <c r="F33" s="138" t="e">
        <f>'Balance Sheet - Stakeholder 3'!$C33/E$37</f>
        <v>#DIV/0!</v>
      </c>
      <c r="G33" s="552"/>
      <c r="H33" s="138" t="e">
        <f>'Balance Sheet - Stakeholder 3'!$C33/G$37</f>
        <v>#DIV/0!</v>
      </c>
    </row>
    <row r="34" spans="1:15" ht="14.7" thickBot="1">
      <c r="A34" s="115"/>
      <c r="B34" s="148" t="s">
        <v>208</v>
      </c>
      <c r="C34" s="553"/>
      <c r="D34" s="138" t="e">
        <f>'Balance Sheet - Stakeholder 3'!$C34/C$37</f>
        <v>#DIV/0!</v>
      </c>
      <c r="E34" s="553"/>
      <c r="F34" s="138" t="e">
        <f>'Balance Sheet - Stakeholder 3'!$C34/E$37</f>
        <v>#DIV/0!</v>
      </c>
      <c r="G34" s="553"/>
      <c r="H34" s="138" t="e">
        <f>'Balance Sheet - Stakeholder 3'!$C34/G$37</f>
        <v>#DIV/0!</v>
      </c>
    </row>
    <row r="35" spans="1:15">
      <c r="A35" s="115"/>
      <c r="B35" s="137" t="s">
        <v>4</v>
      </c>
      <c r="C35" s="136">
        <f>SUM('Balance Sheet - Stakeholder 3'!$C$31:$C$34)</f>
        <v>0</v>
      </c>
      <c r="D35" s="124" t="e">
        <f>C35/C37</f>
        <v>#DIV/0!</v>
      </c>
      <c r="E35" s="136">
        <f>SUM('Balance Sheet - Stakeholder 3'!$E$31:$E$34)</f>
        <v>0</v>
      </c>
      <c r="F35" s="124" t="e">
        <f t="shared" ref="F35" si="6">E35/E37</f>
        <v>#DIV/0!</v>
      </c>
      <c r="G35" s="136">
        <f>SUM('Balance Sheet - Stakeholder 3'!$G$31:$G$34)</f>
        <v>0</v>
      </c>
      <c r="H35" s="124" t="e">
        <f t="shared" ref="H35" si="7">G35/G37</f>
        <v>#DIV/0!</v>
      </c>
    </row>
    <row r="36" spans="1:15">
      <c r="A36" s="115"/>
      <c r="B36" s="120"/>
      <c r="C36" s="120"/>
      <c r="D36" s="120"/>
      <c r="E36" s="120"/>
      <c r="F36" s="120"/>
      <c r="G36" s="120"/>
      <c r="H36" s="120"/>
    </row>
    <row r="37" spans="1:15" ht="16" thickBot="1">
      <c r="A37" s="115"/>
      <c r="B37" s="143" t="s">
        <v>209</v>
      </c>
      <c r="C37" s="144">
        <f>C23+C28+C35</f>
        <v>0</v>
      </c>
      <c r="D37" s="145" t="e">
        <f>SUM('Balance Sheet - Stakeholder 3'!$D$17:$D$22,'Balance Sheet - Stakeholder 3'!$D$26:$D$27,'Balance Sheet - Stakeholder 3'!$D$31:$D$34)</f>
        <v>#DIV/0!</v>
      </c>
      <c r="E37" s="144">
        <f>E23+E28+E35</f>
        <v>0</v>
      </c>
      <c r="F37" s="145" t="e">
        <f>SUM('Balance Sheet - Stakeholder 3'!$D$17:$D$22,'Balance Sheet - Stakeholder 3'!$D$26:$D$27,'Balance Sheet - Stakeholder 3'!$D$31:$D$34)</f>
        <v>#DIV/0!</v>
      </c>
      <c r="G37" s="144">
        <f>G23+G28+G35</f>
        <v>0</v>
      </c>
      <c r="H37" s="145" t="e">
        <f>SUM('Balance Sheet - Stakeholder 3'!$D$17:$D$22,'Balance Sheet - Stakeholder 3'!$D$26:$D$27,'Balance Sheet - Stakeholder 3'!$D$31:$D$34)</f>
        <v>#DIV/0!</v>
      </c>
    </row>
    <row r="38" spans="1:15" ht="14.7" thickTop="1">
      <c r="A38" s="115"/>
      <c r="B38" s="115"/>
      <c r="C38" s="125"/>
      <c r="D38" s="115"/>
      <c r="E38" s="125"/>
      <c r="F38" s="115"/>
      <c r="G38" s="125"/>
      <c r="H38" s="115"/>
    </row>
    <row r="39" spans="1:15" ht="15.7">
      <c r="A39" s="115"/>
      <c r="B39" s="121" t="s">
        <v>321</v>
      </c>
      <c r="C39" s="127">
        <f>C37-C65</f>
        <v>0</v>
      </c>
      <c r="D39" s="122" t="str">
        <f>IF($C$40=0,"-",C39/$C$40)</f>
        <v>-</v>
      </c>
      <c r="E39" s="127">
        <f t="shared" ref="E39" si="8">E37-E65</f>
        <v>0</v>
      </c>
      <c r="F39" s="122" t="str">
        <f t="shared" ref="F39:F40" si="9">IF($C$40=0,"-",E39/$C$40)</f>
        <v>-</v>
      </c>
      <c r="G39" s="127">
        <f t="shared" ref="G39" si="10">G37-G65</f>
        <v>0</v>
      </c>
      <c r="H39" s="122" t="str">
        <f t="shared" ref="H39:H40" si="11">IF($C$40=0,"-",G39/$C$40)</f>
        <v>-</v>
      </c>
    </row>
    <row r="40" spans="1:15" ht="15.7">
      <c r="A40" s="115"/>
      <c r="B40" s="121" t="s">
        <v>211</v>
      </c>
      <c r="C40" s="127">
        <f>C65+C39</f>
        <v>0</v>
      </c>
      <c r="D40" s="122" t="str">
        <f>IF($C$40=0,"-",C40/$C$40)</f>
        <v>-</v>
      </c>
      <c r="E40" s="127">
        <f t="shared" ref="E40" si="12">E65+E39</f>
        <v>0</v>
      </c>
      <c r="F40" s="122" t="str">
        <f t="shared" si="9"/>
        <v>-</v>
      </c>
      <c r="G40" s="127">
        <f t="shared" ref="G40" si="13">G65+G39</f>
        <v>0</v>
      </c>
      <c r="H40" s="122" t="str">
        <f t="shared" si="11"/>
        <v>-</v>
      </c>
    </row>
    <row r="41" spans="1:15">
      <c r="E41" s="24"/>
    </row>
    <row r="42" spans="1:15">
      <c r="E42" s="24"/>
    </row>
    <row r="43" spans="1:15" ht="17" thickBot="1">
      <c r="B43" s="118" t="s">
        <v>181</v>
      </c>
      <c r="C43" s="128"/>
      <c r="D43" s="119" t="s">
        <v>180</v>
      </c>
      <c r="E43" s="128"/>
      <c r="F43" s="119" t="s">
        <v>180</v>
      </c>
      <c r="G43" s="128"/>
      <c r="H43" s="119" t="s">
        <v>180</v>
      </c>
    </row>
    <row r="44" spans="1:15" ht="14.7" thickTop="1">
      <c r="B44" s="115"/>
      <c r="C44" s="125"/>
      <c r="D44" s="115"/>
      <c r="E44" s="125"/>
      <c r="F44" s="115"/>
      <c r="G44" s="125"/>
      <c r="H44" s="115"/>
      <c r="M44" s="24"/>
      <c r="N44" s="24"/>
      <c r="O44" s="24"/>
    </row>
    <row r="45" spans="1:15" ht="14.7" thickBot="1">
      <c r="B45" s="132" t="s">
        <v>60</v>
      </c>
      <c r="C45" s="199"/>
      <c r="D45" s="134"/>
      <c r="E45" s="199"/>
      <c r="F45" s="134"/>
      <c r="G45" s="199"/>
      <c r="H45" s="134"/>
      <c r="M45" s="24"/>
      <c r="N45" s="24"/>
      <c r="O45" s="24"/>
    </row>
    <row r="46" spans="1:15">
      <c r="B46" s="148" t="s">
        <v>313</v>
      </c>
      <c r="C46" s="554"/>
      <c r="D46" s="138"/>
      <c r="E46" s="554"/>
      <c r="F46" s="138"/>
      <c r="G46" s="554"/>
      <c r="H46" s="138"/>
      <c r="M46" s="24"/>
      <c r="N46" s="24"/>
      <c r="O46" s="24"/>
    </row>
    <row r="47" spans="1:15">
      <c r="B47" s="148" t="s">
        <v>314</v>
      </c>
      <c r="C47" s="554"/>
      <c r="D47" s="138"/>
      <c r="E47" s="554"/>
      <c r="F47" s="138"/>
      <c r="G47" s="554"/>
      <c r="H47" s="138"/>
      <c r="M47" s="24"/>
      <c r="N47" s="24"/>
      <c r="O47" s="24"/>
    </row>
    <row r="48" spans="1:15" ht="14.7" thickBot="1">
      <c r="B48" s="148" t="s">
        <v>315</v>
      </c>
      <c r="C48" s="554"/>
      <c r="D48" s="138"/>
      <c r="E48" s="554"/>
      <c r="F48" s="138"/>
      <c r="G48" s="554"/>
      <c r="H48" s="138"/>
      <c r="M48" s="24"/>
      <c r="N48" s="24"/>
      <c r="O48" s="24"/>
    </row>
    <row r="49" spans="2:15">
      <c r="B49" s="139" t="s">
        <v>319</v>
      </c>
      <c r="C49" s="140">
        <f>SUM(C46:C48)</f>
        <v>0</v>
      </c>
      <c r="D49" s="123"/>
      <c r="E49" s="140">
        <f>SUM(E46:E48)</f>
        <v>0</v>
      </c>
      <c r="F49" s="123"/>
      <c r="G49" s="140">
        <f>SUM(G46:G48)</f>
        <v>0</v>
      </c>
      <c r="H49" s="123"/>
      <c r="M49" s="24"/>
      <c r="N49" s="24"/>
      <c r="O49" s="24"/>
    </row>
    <row r="50" spans="2:15">
      <c r="B50" s="115"/>
      <c r="C50" s="125"/>
      <c r="D50" s="115"/>
      <c r="E50" s="125"/>
      <c r="F50" s="115"/>
      <c r="G50" s="125"/>
      <c r="H50" s="115"/>
    </row>
    <row r="51" spans="2:15" ht="14.7" thickBot="1">
      <c r="B51" s="132" t="s">
        <v>185</v>
      </c>
      <c r="C51" s="133" t="s">
        <v>183</v>
      </c>
      <c r="D51" s="134" t="s">
        <v>184</v>
      </c>
      <c r="E51" s="133" t="s">
        <v>183</v>
      </c>
      <c r="F51" s="134" t="s">
        <v>184</v>
      </c>
      <c r="G51" s="133" t="s">
        <v>183</v>
      </c>
      <c r="H51" s="134" t="s">
        <v>184</v>
      </c>
    </row>
    <row r="52" spans="2:15">
      <c r="B52" s="148" t="s">
        <v>187</v>
      </c>
      <c r="C52" s="551"/>
      <c r="D52" s="138" t="str">
        <f>IFERROR('Balance Sheet - Stakeholder 3'!$C52/E,"-")</f>
        <v>-</v>
      </c>
      <c r="E52" s="551"/>
      <c r="F52" s="138" t="str">
        <f>IFERROR('Balance Sheet - Stakeholder 3'!$C52/E,"-")</f>
        <v>-</v>
      </c>
      <c r="G52" s="551"/>
      <c r="H52" s="138" t="str">
        <f>IFERROR('Balance Sheet - Stakeholder 3'!$C52/E,"-")</f>
        <v>-</v>
      </c>
    </row>
    <row r="53" spans="2:15">
      <c r="B53" s="148" t="s">
        <v>189</v>
      </c>
      <c r="C53" s="552"/>
      <c r="D53" s="138" t="str">
        <f>IFERROR('Balance Sheet - Stakeholder 3'!$C53/E,"-")</f>
        <v>-</v>
      </c>
      <c r="E53" s="552"/>
      <c r="F53" s="138" t="str">
        <f>IFERROR('Balance Sheet - Stakeholder 3'!$C53/E,"-")</f>
        <v>-</v>
      </c>
      <c r="G53" s="552"/>
      <c r="H53" s="138" t="str">
        <f>IFERROR('Balance Sheet - Stakeholder 3'!$C53/E,"-")</f>
        <v>-</v>
      </c>
    </row>
    <row r="54" spans="2:15">
      <c r="B54" s="148" t="s">
        <v>191</v>
      </c>
      <c r="C54" s="552"/>
      <c r="D54" s="138" t="str">
        <f>IFERROR('Balance Sheet - Stakeholder 3'!$C54/E,"-")</f>
        <v>-</v>
      </c>
      <c r="E54" s="552"/>
      <c r="F54" s="138" t="str">
        <f>IFERROR('Balance Sheet - Stakeholder 3'!$C54/E,"-")</f>
        <v>-</v>
      </c>
      <c r="G54" s="552"/>
      <c r="H54" s="138" t="str">
        <f>IFERROR('Balance Sheet - Stakeholder 3'!$C54/E,"-")</f>
        <v>-</v>
      </c>
    </row>
    <row r="55" spans="2:15" ht="14.7" thickBot="1">
      <c r="B55" s="148" t="s">
        <v>193</v>
      </c>
      <c r="C55" s="553"/>
      <c r="D55" s="138" t="str">
        <f>IFERROR('Balance Sheet - Stakeholder 3'!$C55/E,"-")</f>
        <v>-</v>
      </c>
      <c r="E55" s="553"/>
      <c r="F55" s="138" t="str">
        <f>IFERROR('Balance Sheet - Stakeholder 3'!$C55/E,"-")</f>
        <v>-</v>
      </c>
      <c r="G55" s="553"/>
      <c r="H55" s="138" t="str">
        <f>IFERROR('Balance Sheet - Stakeholder 3'!$C55/E,"-")</f>
        <v>-</v>
      </c>
    </row>
    <row r="56" spans="2:15">
      <c r="B56" s="139" t="s">
        <v>195</v>
      </c>
      <c r="C56" s="140">
        <f>SUBTOTAL(109,'Balance Sheet - Stakeholder 3'!$C$52:$C$55)</f>
        <v>0</v>
      </c>
      <c r="D56" s="123">
        <f>SUBTOTAL(109,'Balance Sheet - Stakeholder 3'!$D$52:$D$55)</f>
        <v>0</v>
      </c>
      <c r="E56" s="140">
        <f>SUBTOTAL(109,'Balance Sheet - Stakeholder 3'!$E$52:$E$55)</f>
        <v>0</v>
      </c>
      <c r="F56" s="123">
        <f>SUBTOTAL(109,'Balance Sheet - Stakeholder 3'!$D$52:$D$55)</f>
        <v>0</v>
      </c>
      <c r="G56" s="140">
        <f>SUBTOTAL(109,'Balance Sheet - Stakeholder 3'!$G$52:$G$55)</f>
        <v>0</v>
      </c>
      <c r="H56" s="123">
        <f>SUBTOTAL(109,'Balance Sheet - Stakeholder 3'!$D$52:$D$55)</f>
        <v>0</v>
      </c>
    </row>
    <row r="57" spans="2:15">
      <c r="B57" s="115"/>
      <c r="C57" s="125"/>
      <c r="D57" s="115"/>
      <c r="E57" s="125"/>
      <c r="F57" s="115"/>
      <c r="G57" s="125"/>
      <c r="H57" s="115"/>
    </row>
    <row r="58" spans="2:15" ht="14.7" thickBot="1">
      <c r="B58" s="132" t="s">
        <v>199</v>
      </c>
      <c r="C58" s="133" t="s">
        <v>183</v>
      </c>
      <c r="D58" s="134" t="s">
        <v>184</v>
      </c>
      <c r="E58" s="133" t="s">
        <v>183</v>
      </c>
      <c r="F58" s="134" t="s">
        <v>184</v>
      </c>
      <c r="G58" s="133" t="s">
        <v>183</v>
      </c>
      <c r="H58" s="134" t="s">
        <v>184</v>
      </c>
    </row>
    <row r="59" spans="2:15">
      <c r="B59" s="148" t="s">
        <v>201</v>
      </c>
      <c r="C59" s="551"/>
      <c r="D59" s="138" t="str">
        <f>IFERROR('Balance Sheet - Stakeholder 3'!$C59/E,"-")</f>
        <v>-</v>
      </c>
      <c r="E59" s="551"/>
      <c r="F59" s="138" t="str">
        <f>IFERROR('Balance Sheet - Stakeholder 3'!$C59/E,"-")</f>
        <v>-</v>
      </c>
      <c r="G59" s="551"/>
      <c r="H59" s="138" t="str">
        <f>IFERROR('Balance Sheet - Stakeholder 3'!$C59/E,"-")</f>
        <v>-</v>
      </c>
    </row>
    <row r="60" spans="2:15">
      <c r="B60" s="148" t="s">
        <v>203</v>
      </c>
      <c r="C60" s="552"/>
      <c r="D60" s="138" t="str">
        <f>IFERROR('Balance Sheet - Stakeholder 3'!$C60/E,"-")</f>
        <v>-</v>
      </c>
      <c r="E60" s="552"/>
      <c r="F60" s="138" t="str">
        <f>IFERROR('Balance Sheet - Stakeholder 3'!$C60/E,"-")</f>
        <v>-</v>
      </c>
      <c r="G60" s="552"/>
      <c r="H60" s="138" t="str">
        <f>IFERROR('Balance Sheet - Stakeholder 3'!$C60/E,"-")</f>
        <v>-</v>
      </c>
    </row>
    <row r="61" spans="2:15">
      <c r="B61" s="148" t="s">
        <v>194</v>
      </c>
      <c r="C61" s="552"/>
      <c r="D61" s="138" t="str">
        <f>IFERROR('Balance Sheet - Stakeholder 3'!$C61/E,"-")</f>
        <v>-</v>
      </c>
      <c r="E61" s="552"/>
      <c r="F61" s="138" t="str">
        <f>IFERROR('Balance Sheet - Stakeholder 3'!$C61/E,"-")</f>
        <v>-</v>
      </c>
      <c r="G61" s="552"/>
      <c r="H61" s="138" t="str">
        <f>IFERROR('Balance Sheet - Stakeholder 3'!$C61/E,"-")</f>
        <v>-</v>
      </c>
    </row>
    <row r="62" spans="2:15" ht="14.7" thickBot="1">
      <c r="B62" s="148" t="s">
        <v>204</v>
      </c>
      <c r="C62" s="553"/>
      <c r="D62" s="138" t="str">
        <f>IFERROR('Balance Sheet - Stakeholder 3'!$C62/E,"-")</f>
        <v>-</v>
      </c>
      <c r="E62" s="553"/>
      <c r="F62" s="138" t="str">
        <f>IFERROR('Balance Sheet - Stakeholder 3'!$C62/E,"-")</f>
        <v>-</v>
      </c>
      <c r="G62" s="553"/>
      <c r="H62" s="138" t="str">
        <f>IFERROR('Balance Sheet - Stakeholder 3'!$C62/E,"-")</f>
        <v>-</v>
      </c>
    </row>
    <row r="63" spans="2:15">
      <c r="B63" s="139" t="s">
        <v>4</v>
      </c>
      <c r="C63" s="140">
        <f>SUM('Balance Sheet - Stakeholder 3'!$C$59:$C$62)</f>
        <v>0</v>
      </c>
      <c r="D63" s="123">
        <f>SUBTOTAL(109,'Balance Sheet - Stakeholder 3'!$D$59:$D$62)</f>
        <v>0</v>
      </c>
      <c r="E63" s="140">
        <f>SUM('Balance Sheet - Stakeholder 3'!$E$59:$E$62)</f>
        <v>0</v>
      </c>
      <c r="F63" s="123">
        <f>SUBTOTAL(109,'Balance Sheet - Stakeholder 3'!$D$59:$D$62)</f>
        <v>0</v>
      </c>
      <c r="G63" s="140">
        <f>SUM('Balance Sheet - Stakeholder 3'!$G$59:$G$62)</f>
        <v>0</v>
      </c>
      <c r="H63" s="123">
        <f>SUBTOTAL(109,'Balance Sheet - Stakeholder 3'!$D$59:$D$62)</f>
        <v>0</v>
      </c>
    </row>
    <row r="64" spans="2:15">
      <c r="B64" s="120"/>
      <c r="C64" s="120"/>
      <c r="D64" s="120"/>
      <c r="E64" s="120"/>
      <c r="F64" s="120"/>
      <c r="G64" s="120"/>
      <c r="H64" s="120"/>
    </row>
    <row r="65" spans="2:8" ht="16" thickBot="1">
      <c r="B65" s="143" t="s">
        <v>245</v>
      </c>
      <c r="C65" s="144">
        <f>C49+C56+C63</f>
        <v>0</v>
      </c>
      <c r="D65" s="145" t="str">
        <f>IFERROR(C65/E,"-")</f>
        <v>-</v>
      </c>
      <c r="E65" s="144">
        <f>E49+E56+E63</f>
        <v>0</v>
      </c>
      <c r="F65" s="145" t="str">
        <f>IFERROR(E65/E,"-")</f>
        <v>-</v>
      </c>
      <c r="G65" s="144">
        <f>G49+G56+G63</f>
        <v>0</v>
      </c>
      <c r="H65" s="145" t="str">
        <f>IFERROR(G65/E,"-")</f>
        <v>-</v>
      </c>
    </row>
    <row r="66" spans="2:8" ht="14.7" thickTop="1"/>
    <row r="67" spans="2:8" hidden="1">
      <c r="B67" t="s">
        <v>251</v>
      </c>
      <c r="C67" s="152">
        <f>'Pre-conditions'!B9+Financing!B3*'Pre-conditions'!B8</f>
        <v>0.105</v>
      </c>
    </row>
    <row r="68" spans="2:8" hidden="1">
      <c r="B68" t="s">
        <v>252</v>
      </c>
      <c r="C68" s="152">
        <f>('Pre-conditions'!B9+'Pre-conditions'!B11)*(1-'Pre-conditions'!B12)</f>
        <v>6.9999999999999993E-2</v>
      </c>
    </row>
    <row r="69" spans="2:8" ht="14.7" thickBot="1">
      <c r="B69" s="159" t="s">
        <v>129</v>
      </c>
      <c r="C69" s="160" t="e">
        <f>(D39*$C67)+(D40-D39)*$C68</f>
        <v>#VALUE!</v>
      </c>
      <c r="D69" s="159"/>
      <c r="E69" s="160" t="e">
        <f>(F39*$C67)+(F40-F39)*$C68</f>
        <v>#VALUE!</v>
      </c>
      <c r="F69" s="159"/>
      <c r="G69" s="160" t="e">
        <f>(H39*$C67)+(H40-H39)*$C68</f>
        <v>#VALUE!</v>
      </c>
      <c r="H69" s="159"/>
    </row>
  </sheetData>
  <sheetProtection algorithmName="SHA-512" hashValue="cAJr26oOHDZbLnAYCQzFqEuK8SKJbOuGvStjoNZkAh+pDeUZqgmkGl7uz8xyv3M06yRLvWBgdldqt98OnWTQjg==" saltValue="XRBbifvFlJzk4YWhBfUgxA==" spinCount="100000" sheet="1" objects="1" scenarios="1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69"/>
  <sheetViews>
    <sheetView topLeftCell="A9" zoomScale="70" zoomScaleNormal="70" workbookViewId="0">
      <selection activeCell="L22" sqref="L22"/>
    </sheetView>
  </sheetViews>
  <sheetFormatPr defaultRowHeight="14.35"/>
  <cols>
    <col min="1" max="1" width="2" customWidth="1"/>
    <col min="2" max="2" width="51.703125" customWidth="1"/>
    <col min="3" max="3" width="19.41015625" style="24" customWidth="1"/>
    <col min="4" max="6" width="19.41015625" customWidth="1"/>
    <col min="7" max="7" width="19.41015625" style="24" customWidth="1"/>
    <col min="8" max="8" width="19.41015625" customWidth="1"/>
  </cols>
  <sheetData>
    <row r="1" spans="1:8" ht="14.7" thickBot="1">
      <c r="A1" s="570" t="s">
        <v>174</v>
      </c>
      <c r="B1" s="570"/>
      <c r="C1" s="570"/>
      <c r="D1" s="570"/>
      <c r="E1" s="161" t="s">
        <v>257</v>
      </c>
      <c r="F1" s="549" t="str">
        <f>'Applicant information'!B13</f>
        <v>N/A</v>
      </c>
      <c r="G1" s="549"/>
      <c r="H1" s="549"/>
    </row>
    <row r="2" spans="1:8" ht="15" thickTop="1" thickBot="1">
      <c r="A2" s="570"/>
      <c r="B2" s="570"/>
      <c r="C2" s="570"/>
      <c r="D2" s="570"/>
      <c r="E2" s="115"/>
      <c r="G2" s="125"/>
      <c r="H2" s="115"/>
    </row>
    <row r="3" spans="1:8" ht="16" thickTop="1">
      <c r="A3" s="115"/>
      <c r="B3" s="116" t="s">
        <v>214</v>
      </c>
      <c r="C3" s="142">
        <f>'Pre-conditions'!B4-2</f>
        <v>2013</v>
      </c>
      <c r="D3" s="141"/>
      <c r="E3" s="142">
        <f>'Pre-conditions'!B4-3</f>
        <v>2012</v>
      </c>
      <c r="F3" s="141"/>
      <c r="G3" s="142">
        <f>'Pre-conditions'!B4-4</f>
        <v>2011</v>
      </c>
      <c r="H3" s="141"/>
    </row>
    <row r="4" spans="1:8" ht="15.7">
      <c r="A4" s="115"/>
      <c r="B4" s="117" t="s">
        <v>243</v>
      </c>
      <c r="C4" s="153" t="str">
        <f>IFERROR('Balance Sheet - Stakeholder 4'!$C$23/'Balance Sheet - Stakeholder 4'!$C$56,"-")</f>
        <v>-</v>
      </c>
      <c r="D4" s="115"/>
      <c r="E4" s="153" t="str">
        <f>IFERROR('Balance Sheet - Stakeholder 4'!$E$23/'Balance Sheet - Stakeholder 4'!$E$56,"-")</f>
        <v>-</v>
      </c>
      <c r="F4" s="115"/>
      <c r="G4" s="153" t="str">
        <f>IFERROR('Balance Sheet - Stakeholder 4'!$G$23/'Balance Sheet - Stakeholder 4'!$G$56,"-")</f>
        <v>-</v>
      </c>
      <c r="H4" s="115"/>
    </row>
    <row r="5" spans="1:8" ht="15.7">
      <c r="A5" s="115"/>
      <c r="B5" s="117" t="s">
        <v>175</v>
      </c>
      <c r="C5" s="153" t="str">
        <f>IFERROR(('Balance Sheet - Stakeholder 4'!$C$23-C20)/'Balance Sheet - Stakeholder 4'!$C$56,"-")</f>
        <v>-</v>
      </c>
      <c r="D5" s="115"/>
      <c r="E5" s="153" t="str">
        <f>IFERROR(('Balance Sheet - Stakeholder 4'!$E$23-E20)/'Balance Sheet - Stakeholder 4'!$E$56,"-")</f>
        <v>-</v>
      </c>
      <c r="F5" s="115"/>
      <c r="G5" s="153" t="str">
        <f>IFERROR(('Balance Sheet - Stakeholder 4'!$G$23-G20)/'Balance Sheet - Stakeholder 4'!$G$56,"-")</f>
        <v>-</v>
      </c>
      <c r="H5" s="115"/>
    </row>
    <row r="6" spans="1:8" ht="15.7">
      <c r="A6" s="115"/>
      <c r="B6" s="117" t="s">
        <v>177</v>
      </c>
      <c r="C6" s="153" t="e">
        <f>C17/C56</f>
        <v>#DIV/0!</v>
      </c>
      <c r="D6" s="115"/>
      <c r="E6" s="153" t="str">
        <f>IFERROR(E17/'Balance Sheet - Stakeholder 4'!$E$56,"-")</f>
        <v>-</v>
      </c>
      <c r="F6" s="115"/>
      <c r="G6" s="153" t="str">
        <f>IFERROR(G17/'Balance Sheet - Stakeholder 4'!$G$56,"-")</f>
        <v>-</v>
      </c>
      <c r="H6" s="115"/>
    </row>
    <row r="7" spans="1:8" ht="17.25" customHeight="1">
      <c r="A7" s="115"/>
      <c r="B7" s="117" t="s">
        <v>213</v>
      </c>
      <c r="C7" s="131">
        <f>IFERROR(('Balance Sheet - Stakeholder 4'!$C$23-'Balance Sheet - Stakeholder 4'!$C$56),"-")</f>
        <v>0</v>
      </c>
      <c r="D7" s="115"/>
      <c r="E7" s="131">
        <f>IFERROR(('Balance Sheet - Stakeholder 4'!$E$23-'Balance Sheet - Stakeholder 4'!$E$56),"-")</f>
        <v>0</v>
      </c>
      <c r="F7" s="115"/>
      <c r="G7" s="131">
        <f>IFERROR(('Balance Sheet - Stakeholder 4'!$G$23-'Balance Sheet - Stakeholder 4'!$G$56),"-")</f>
        <v>0</v>
      </c>
      <c r="H7" s="115"/>
    </row>
    <row r="8" spans="1:8" ht="15.75" customHeight="1">
      <c r="A8" s="115"/>
      <c r="B8" s="117" t="s">
        <v>176</v>
      </c>
      <c r="C8" s="153" t="str">
        <f>IFERROR((C59+C52)/C49,"-")</f>
        <v>-</v>
      </c>
      <c r="D8" s="115"/>
      <c r="E8" s="153" t="str">
        <f>IFERROR((E59+E52)/E49,"-")</f>
        <v>-</v>
      </c>
      <c r="F8" s="115"/>
      <c r="G8" s="153" t="str">
        <f>IFERROR((G59+G52)/G49,"-")</f>
        <v>-</v>
      </c>
      <c r="H8" s="115"/>
    </row>
    <row r="9" spans="1:8" ht="17.25" customHeight="1">
      <c r="A9" s="115"/>
      <c r="B9" s="117" t="s">
        <v>178</v>
      </c>
      <c r="C9" s="153" t="str">
        <f>IFERROR((C59+C52)/C37,"-")</f>
        <v>-</v>
      </c>
      <c r="D9" s="115"/>
      <c r="E9" s="153" t="str">
        <f t="shared" ref="E9" si="0">IFERROR((E59+E52)/E37,"-")</f>
        <v>-</v>
      </c>
      <c r="F9" s="115"/>
      <c r="G9" s="153" t="str">
        <f t="shared" ref="G9" si="1">IFERROR((G59+G52)/G37,"-")</f>
        <v>-</v>
      </c>
      <c r="H9" s="115"/>
    </row>
    <row r="10" spans="1:8" ht="17.25" customHeight="1">
      <c r="A10" s="115"/>
      <c r="B10" s="117" t="s">
        <v>322</v>
      </c>
      <c r="C10" s="153">
        <f>'Income Sheet - Stakeholder 1'!C12/(('Balance Sheet - Stakeholder 1'!E37+'Balance Sheet - Stakeholder 1'!C37)/2)</f>
        <v>0.1008434463139854</v>
      </c>
      <c r="D10" s="115"/>
      <c r="E10" s="153">
        <f>'Income Sheet - Stakeholder 1'!E12/(('Balance Sheet - Stakeholder 1'!G37+'Balance Sheet - Stakeholder 1'!E37)/2)</f>
        <v>0.16748533381013503</v>
      </c>
      <c r="F10" s="115"/>
      <c r="G10" s="153">
        <f>'Income Sheet - Stakeholder 1'!G12/(('Balance Sheet - Stakeholder 1'!I37+'Balance Sheet - Stakeholder 1'!G37)/2)</f>
        <v>0.16370842075225889</v>
      </c>
      <c r="H10" s="115"/>
    </row>
    <row r="11" spans="1:8" ht="17.25" customHeight="1">
      <c r="A11" s="115"/>
      <c r="B11" s="117" t="s">
        <v>323</v>
      </c>
      <c r="C11" s="153">
        <f>'Income Sheet - Stakeholder 1'!C43/('Balance Sheet - Stakeholder 1'!C37-'Balance Sheet - Stakeholder 1'!C56)</f>
        <v>7.3444744858604041E-2</v>
      </c>
      <c r="D11" s="115"/>
      <c r="E11" s="153">
        <f>'Income Sheet - Stakeholder 1'!E43/('Balance Sheet - Stakeholder 1'!E37-'Balance Sheet - Stakeholder 1'!E56)</f>
        <v>0.12877214894211775</v>
      </c>
      <c r="F11" s="115"/>
      <c r="G11" s="153">
        <f>'Income Sheet - Stakeholder 1'!G43/('Balance Sheet - Stakeholder 1'!G37-'Balance Sheet - Stakeholder 1'!G56)</f>
        <v>6.9133974874563783E-2</v>
      </c>
      <c r="H11" s="115"/>
    </row>
    <row r="12" spans="1:8" ht="17.25" customHeight="1">
      <c r="A12" s="115"/>
      <c r="B12" s="117" t="s">
        <v>244</v>
      </c>
      <c r="C12" s="153" t="e">
        <f>(C52+C59)/(C37-C65+C49)</f>
        <v>#DIV/0!</v>
      </c>
      <c r="D12" s="115"/>
      <c r="E12" s="153" t="e">
        <f>(E52+E59)/(E37-E65+E49)</f>
        <v>#DIV/0!</v>
      </c>
      <c r="F12" s="115"/>
      <c r="G12" s="153" t="e">
        <f>(G52+G59)/(G37-G65+G49)</f>
        <v>#DIV/0!</v>
      </c>
      <c r="H12" s="115"/>
    </row>
    <row r="13" spans="1:8" ht="23.35">
      <c r="A13" s="115"/>
      <c r="B13" s="129"/>
      <c r="C13" s="125"/>
      <c r="D13" s="115"/>
      <c r="E13" s="125"/>
      <c r="F13" s="115"/>
      <c r="G13" s="125"/>
      <c r="H13" s="115"/>
    </row>
    <row r="14" spans="1:8" ht="17" thickBot="1">
      <c r="A14" s="115"/>
      <c r="B14" s="118" t="s">
        <v>179</v>
      </c>
      <c r="C14" s="126"/>
      <c r="D14" s="119" t="s">
        <v>180</v>
      </c>
      <c r="E14" s="126"/>
      <c r="F14" s="119" t="s">
        <v>180</v>
      </c>
      <c r="G14" s="126"/>
      <c r="H14" s="119" t="s">
        <v>180</v>
      </c>
    </row>
    <row r="15" spans="1:8" ht="14.7" thickTop="1">
      <c r="A15" s="115"/>
      <c r="B15" s="115"/>
      <c r="C15" s="125"/>
      <c r="D15" s="115"/>
      <c r="E15" s="125"/>
      <c r="F15" s="115"/>
      <c r="G15" s="125"/>
      <c r="H15" s="115"/>
    </row>
    <row r="16" spans="1:8" ht="14.7" thickBot="1">
      <c r="A16" s="115"/>
      <c r="B16" s="132" t="s">
        <v>182</v>
      </c>
      <c r="C16" s="133" t="s">
        <v>212</v>
      </c>
      <c r="D16" s="134" t="s">
        <v>184</v>
      </c>
      <c r="E16" s="133" t="s">
        <v>212</v>
      </c>
      <c r="F16" s="134" t="s">
        <v>184</v>
      </c>
      <c r="G16" s="133" t="s">
        <v>212</v>
      </c>
      <c r="H16" s="134" t="s">
        <v>184</v>
      </c>
    </row>
    <row r="17" spans="1:8">
      <c r="A17" s="115"/>
      <c r="B17" s="148" t="s">
        <v>186</v>
      </c>
      <c r="C17" s="551"/>
      <c r="D17" s="138" t="e">
        <f>'Balance Sheet - Stakeholder 4'!$C17/C$37</f>
        <v>#DIV/0!</v>
      </c>
      <c r="E17" s="551"/>
      <c r="F17" s="138" t="e">
        <f>'Balance Sheet - Stakeholder 4'!$C17/E$37</f>
        <v>#DIV/0!</v>
      </c>
      <c r="G17" s="551"/>
      <c r="H17" s="138" t="e">
        <f>'Balance Sheet - Stakeholder 4'!$C17/G$37</f>
        <v>#DIV/0!</v>
      </c>
    </row>
    <row r="18" spans="1:8">
      <c r="A18" s="115"/>
      <c r="B18" s="148" t="s">
        <v>188</v>
      </c>
      <c r="C18" s="552"/>
      <c r="D18" s="138" t="e">
        <f>'Balance Sheet - Stakeholder 4'!$C18/C$37</f>
        <v>#DIV/0!</v>
      </c>
      <c r="E18" s="552"/>
      <c r="F18" s="138" t="e">
        <f>'Balance Sheet - Stakeholder 4'!$C18/E$37</f>
        <v>#DIV/0!</v>
      </c>
      <c r="G18" s="552"/>
      <c r="H18" s="138" t="e">
        <f>'Balance Sheet - Stakeholder 4'!$C18/G$37</f>
        <v>#DIV/0!</v>
      </c>
    </row>
    <row r="19" spans="1:8">
      <c r="A19" s="115"/>
      <c r="B19" s="148" t="s">
        <v>190</v>
      </c>
      <c r="C19" s="552"/>
      <c r="D19" s="138" t="e">
        <f>'Balance Sheet - Stakeholder 4'!$C19/C$37</f>
        <v>#DIV/0!</v>
      </c>
      <c r="E19" s="552"/>
      <c r="F19" s="138" t="e">
        <f>'Balance Sheet - Stakeholder 4'!$C19/E$37</f>
        <v>#DIV/0!</v>
      </c>
      <c r="G19" s="552"/>
      <c r="H19" s="138" t="e">
        <f>'Balance Sheet - Stakeholder 4'!$C19/G$37</f>
        <v>#DIV/0!</v>
      </c>
    </row>
    <row r="20" spans="1:8">
      <c r="A20" s="115"/>
      <c r="B20" s="148" t="s">
        <v>192</v>
      </c>
      <c r="C20" s="552"/>
      <c r="D20" s="138" t="e">
        <f>'Balance Sheet - Stakeholder 4'!$C20/C$37</f>
        <v>#DIV/0!</v>
      </c>
      <c r="E20" s="552"/>
      <c r="F20" s="138" t="e">
        <f>'Balance Sheet - Stakeholder 4'!$C20/E$37</f>
        <v>#DIV/0!</v>
      </c>
      <c r="G20" s="552"/>
      <c r="H20" s="138" t="e">
        <f>'Balance Sheet - Stakeholder 4'!$C20/G$37</f>
        <v>#DIV/0!</v>
      </c>
    </row>
    <row r="21" spans="1:8">
      <c r="A21" s="115"/>
      <c r="B21" s="148" t="s">
        <v>194</v>
      </c>
      <c r="C21" s="552"/>
      <c r="D21" s="138" t="e">
        <f>'Balance Sheet - Stakeholder 4'!$C21/C$37</f>
        <v>#DIV/0!</v>
      </c>
      <c r="E21" s="552"/>
      <c r="F21" s="138" t="e">
        <f>'Balance Sheet - Stakeholder 4'!$C21/E$37</f>
        <v>#DIV/0!</v>
      </c>
      <c r="G21" s="552"/>
      <c r="H21" s="138" t="e">
        <f>'Balance Sheet - Stakeholder 4'!$C21/G$37</f>
        <v>#DIV/0!</v>
      </c>
    </row>
    <row r="22" spans="1:8" ht="14.7" thickBot="1">
      <c r="A22" s="115"/>
      <c r="B22" s="148" t="s">
        <v>196</v>
      </c>
      <c r="C22" s="553"/>
      <c r="D22" s="138" t="e">
        <f>'Balance Sheet - Stakeholder 4'!$C22/C$37</f>
        <v>#DIV/0!</v>
      </c>
      <c r="E22" s="553"/>
      <c r="F22" s="138" t="e">
        <f>'Balance Sheet - Stakeholder 4'!$C22/E$37</f>
        <v>#DIV/0!</v>
      </c>
      <c r="G22" s="553"/>
      <c r="H22" s="138" t="e">
        <f>'Balance Sheet - Stakeholder 4'!$C22/G$37</f>
        <v>#DIV/0!</v>
      </c>
    </row>
    <row r="23" spans="1:8">
      <c r="A23" s="115"/>
      <c r="B23" s="135" t="s">
        <v>197</v>
      </c>
      <c r="C23" s="136">
        <f>SUBTOTAL(109,'Balance Sheet - Stakeholder 4'!$C$17:$C$22)</f>
        <v>0</v>
      </c>
      <c r="D23" s="130" t="e">
        <f>C23/C37</f>
        <v>#DIV/0!</v>
      </c>
      <c r="E23" s="136">
        <f>SUBTOTAL(109,'Balance Sheet - Stakeholder 4'!$E$17:$E$22)</f>
        <v>0</v>
      </c>
      <c r="F23" s="130" t="e">
        <f t="shared" ref="F23" si="2">E23/E37</f>
        <v>#DIV/0!</v>
      </c>
      <c r="G23" s="136">
        <f>SUBTOTAL(109,'Balance Sheet - Stakeholder 4'!$G$17:$G$22)</f>
        <v>0</v>
      </c>
      <c r="H23" s="130" t="e">
        <f t="shared" ref="H23" si="3">G23/G37</f>
        <v>#DIV/0!</v>
      </c>
    </row>
    <row r="24" spans="1:8">
      <c r="A24" s="115"/>
      <c r="B24" s="120"/>
      <c r="C24" s="120"/>
      <c r="D24" s="120"/>
      <c r="E24" s="120"/>
      <c r="F24" s="120"/>
      <c r="G24" s="120"/>
      <c r="H24" s="120"/>
    </row>
    <row r="25" spans="1:8" ht="14.7" thickBot="1">
      <c r="A25" s="115"/>
      <c r="B25" s="132" t="s">
        <v>198</v>
      </c>
      <c r="C25" s="133" t="s">
        <v>183</v>
      </c>
      <c r="D25" s="134" t="s">
        <v>184</v>
      </c>
      <c r="E25" s="133" t="s">
        <v>183</v>
      </c>
      <c r="F25" s="134" t="s">
        <v>184</v>
      </c>
      <c r="G25" s="133" t="s">
        <v>183</v>
      </c>
      <c r="H25" s="134" t="s">
        <v>184</v>
      </c>
    </row>
    <row r="26" spans="1:8">
      <c r="A26" s="115"/>
      <c r="B26" s="148" t="s">
        <v>200</v>
      </c>
      <c r="C26" s="551"/>
      <c r="D26" s="138" t="e">
        <f>'Balance Sheet - Stakeholder 4'!$C26/C37</f>
        <v>#DIV/0!</v>
      </c>
      <c r="E26" s="551"/>
      <c r="F26" s="138" t="e">
        <f>'Balance Sheet - Stakeholder 4'!$C26/E37</f>
        <v>#DIV/0!</v>
      </c>
      <c r="G26" s="551"/>
      <c r="H26" s="138" t="e">
        <f>'Balance Sheet - Stakeholder 4'!$C26/G37</f>
        <v>#DIV/0!</v>
      </c>
    </row>
    <row r="27" spans="1:8" ht="14.7" thickBot="1">
      <c r="A27" s="115"/>
      <c r="B27" s="148" t="s">
        <v>202</v>
      </c>
      <c r="C27" s="553"/>
      <c r="D27" s="138" t="e">
        <f>'Balance Sheet - Stakeholder 4'!$C27/C37</f>
        <v>#DIV/0!</v>
      </c>
      <c r="E27" s="553"/>
      <c r="F27" s="138" t="e">
        <f>'Balance Sheet - Stakeholder 4'!$C27/E37</f>
        <v>#DIV/0!</v>
      </c>
      <c r="G27" s="553"/>
      <c r="H27" s="138" t="e">
        <f>'Balance Sheet - Stakeholder 4'!$C27/G37</f>
        <v>#DIV/0!</v>
      </c>
    </row>
    <row r="28" spans="1:8">
      <c r="A28" s="115"/>
      <c r="B28" s="135" t="s">
        <v>4</v>
      </c>
      <c r="C28" s="136">
        <f>SUM('Balance Sheet - Stakeholder 4'!$C$26:$C$27)</f>
        <v>0</v>
      </c>
      <c r="D28" s="130" t="e">
        <f>C28/C37</f>
        <v>#DIV/0!</v>
      </c>
      <c r="E28" s="136">
        <f>SUM('Balance Sheet - Stakeholder 4'!$E$26:$E$27)</f>
        <v>0</v>
      </c>
      <c r="F28" s="130" t="e">
        <f t="shared" ref="F28" si="4">E28/E37</f>
        <v>#DIV/0!</v>
      </c>
      <c r="G28" s="136">
        <f>SUM('Balance Sheet - Stakeholder 4'!$G$26:$G$27)</f>
        <v>0</v>
      </c>
      <c r="H28" s="130" t="e">
        <f t="shared" ref="H28" si="5">G28/G37</f>
        <v>#DIV/0!</v>
      </c>
    </row>
    <row r="29" spans="1:8">
      <c r="A29" s="115"/>
      <c r="B29" s="120"/>
      <c r="C29" s="120"/>
      <c r="D29" s="120"/>
      <c r="E29" s="120"/>
      <c r="F29" s="120"/>
      <c r="G29" s="120"/>
      <c r="H29" s="120"/>
    </row>
    <row r="30" spans="1:8" ht="14.7" thickBot="1">
      <c r="A30" s="115"/>
      <c r="B30" s="132" t="s">
        <v>205</v>
      </c>
      <c r="C30" s="133" t="s">
        <v>183</v>
      </c>
      <c r="D30" s="134" t="s">
        <v>184</v>
      </c>
      <c r="E30" s="133" t="s">
        <v>183</v>
      </c>
      <c r="F30" s="134" t="s">
        <v>184</v>
      </c>
      <c r="G30" s="133" t="s">
        <v>183</v>
      </c>
      <c r="H30" s="134" t="s">
        <v>184</v>
      </c>
    </row>
    <row r="31" spans="1:8">
      <c r="A31" s="115"/>
      <c r="B31" s="148" t="s">
        <v>206</v>
      </c>
      <c r="C31" s="551"/>
      <c r="D31" s="138" t="e">
        <f>'Balance Sheet - Stakeholder 4'!$C31/C$37</f>
        <v>#DIV/0!</v>
      </c>
      <c r="E31" s="551"/>
      <c r="F31" s="138" t="e">
        <f>'Balance Sheet - Stakeholder 4'!$C31/E$37</f>
        <v>#DIV/0!</v>
      </c>
      <c r="G31" s="551"/>
      <c r="H31" s="138" t="e">
        <f>'Balance Sheet - Stakeholder 4'!$C31/G$37</f>
        <v>#DIV/0!</v>
      </c>
    </row>
    <row r="32" spans="1:8">
      <c r="A32" s="115"/>
      <c r="B32" s="148" t="s">
        <v>207</v>
      </c>
      <c r="C32" s="552"/>
      <c r="D32" s="138" t="e">
        <f>'Balance Sheet - Stakeholder 4'!$C32/C$37</f>
        <v>#DIV/0!</v>
      </c>
      <c r="E32" s="552"/>
      <c r="F32" s="138" t="e">
        <f>'Balance Sheet - Stakeholder 4'!$C32/E$37</f>
        <v>#DIV/0!</v>
      </c>
      <c r="G32" s="552"/>
      <c r="H32" s="138" t="e">
        <f>'Balance Sheet - Stakeholder 4'!$C32/G$37</f>
        <v>#DIV/0!</v>
      </c>
    </row>
    <row r="33" spans="1:15">
      <c r="A33" s="115"/>
      <c r="B33" s="148" t="s">
        <v>194</v>
      </c>
      <c r="C33" s="552"/>
      <c r="D33" s="138" t="e">
        <f>'Balance Sheet - Stakeholder 4'!$C33/C$37</f>
        <v>#DIV/0!</v>
      </c>
      <c r="E33" s="552"/>
      <c r="F33" s="138" t="e">
        <f>'Balance Sheet - Stakeholder 4'!$C33/E$37</f>
        <v>#DIV/0!</v>
      </c>
      <c r="G33" s="552"/>
      <c r="H33" s="138" t="e">
        <f>'Balance Sheet - Stakeholder 4'!$C33/G$37</f>
        <v>#DIV/0!</v>
      </c>
    </row>
    <row r="34" spans="1:15" ht="14.7" thickBot="1">
      <c r="A34" s="115"/>
      <c r="B34" s="148" t="s">
        <v>208</v>
      </c>
      <c r="C34" s="553"/>
      <c r="D34" s="138" t="e">
        <f>'Balance Sheet - Stakeholder 4'!$C34/C$37</f>
        <v>#DIV/0!</v>
      </c>
      <c r="E34" s="553"/>
      <c r="F34" s="138" t="e">
        <f>'Balance Sheet - Stakeholder 4'!$C34/E$37</f>
        <v>#DIV/0!</v>
      </c>
      <c r="G34" s="553"/>
      <c r="H34" s="138" t="e">
        <f>'Balance Sheet - Stakeholder 4'!$C34/G$37</f>
        <v>#DIV/0!</v>
      </c>
    </row>
    <row r="35" spans="1:15">
      <c r="A35" s="115"/>
      <c r="B35" s="137" t="s">
        <v>4</v>
      </c>
      <c r="C35" s="136">
        <f>SUM('Balance Sheet - Stakeholder 4'!$C$31:$C$34)</f>
        <v>0</v>
      </c>
      <c r="D35" s="124" t="e">
        <f>C35/C37</f>
        <v>#DIV/0!</v>
      </c>
      <c r="E35" s="136">
        <f>SUM('Balance Sheet - Stakeholder 4'!$E$31:$E$34)</f>
        <v>0</v>
      </c>
      <c r="F35" s="124" t="e">
        <f t="shared" ref="F35" si="6">E35/E37</f>
        <v>#DIV/0!</v>
      </c>
      <c r="G35" s="136">
        <f>SUM('Balance Sheet - Stakeholder 4'!$G$31:$G$34)</f>
        <v>0</v>
      </c>
      <c r="H35" s="124" t="e">
        <f t="shared" ref="H35" si="7">G35/G37</f>
        <v>#DIV/0!</v>
      </c>
    </row>
    <row r="36" spans="1:15">
      <c r="A36" s="115"/>
      <c r="B36" s="120"/>
      <c r="C36" s="120"/>
      <c r="D36" s="120"/>
      <c r="E36" s="120"/>
      <c r="F36" s="120"/>
      <c r="G36" s="120"/>
      <c r="H36" s="120"/>
    </row>
    <row r="37" spans="1:15" ht="16" thickBot="1">
      <c r="A37" s="115"/>
      <c r="B37" s="143" t="s">
        <v>209</v>
      </c>
      <c r="C37" s="144">
        <f>C23+C28+C35</f>
        <v>0</v>
      </c>
      <c r="D37" s="145" t="e">
        <f>SUM('Balance Sheet - Stakeholder 4'!$D$17:$D$22,'Balance Sheet - Stakeholder 4'!$D$26:$D$27,'Balance Sheet - Stakeholder 4'!$D$31:$D$34)</f>
        <v>#DIV/0!</v>
      </c>
      <c r="E37" s="144">
        <f>E23+E28+E35</f>
        <v>0</v>
      </c>
      <c r="F37" s="145" t="e">
        <f>SUM('Balance Sheet - Stakeholder 4'!$D$17:$D$22,'Balance Sheet - Stakeholder 4'!$D$26:$D$27,'Balance Sheet - Stakeholder 4'!$D$31:$D$34)</f>
        <v>#DIV/0!</v>
      </c>
      <c r="G37" s="144">
        <f>G23+G28+G35</f>
        <v>0</v>
      </c>
      <c r="H37" s="145" t="e">
        <f>SUM('Balance Sheet - Stakeholder 4'!$D$17:$D$22,'Balance Sheet - Stakeholder 4'!$D$26:$D$27,'Balance Sheet - Stakeholder 4'!$D$31:$D$34)</f>
        <v>#DIV/0!</v>
      </c>
    </row>
    <row r="38" spans="1:15" ht="14.7" thickTop="1">
      <c r="A38" s="115"/>
      <c r="B38" s="115"/>
      <c r="C38" s="125"/>
      <c r="D38" s="115"/>
      <c r="E38" s="125"/>
      <c r="F38" s="115"/>
      <c r="G38" s="125"/>
      <c r="H38" s="115"/>
    </row>
    <row r="39" spans="1:15" ht="15.7">
      <c r="A39" s="115"/>
      <c r="B39" s="121" t="s">
        <v>321</v>
      </c>
      <c r="C39" s="127">
        <f>C37-C65</f>
        <v>0</v>
      </c>
      <c r="D39" s="122" t="str">
        <f>IF($C$40=0,"-",C39/$C$40)</f>
        <v>-</v>
      </c>
      <c r="E39" s="127">
        <f t="shared" ref="E39" si="8">E37-E65</f>
        <v>0</v>
      </c>
      <c r="F39" s="122" t="str">
        <f t="shared" ref="F39:F40" si="9">IF($C$40=0,"-",E39/$C$40)</f>
        <v>-</v>
      </c>
      <c r="G39" s="127">
        <f t="shared" ref="G39" si="10">G37-G65</f>
        <v>0</v>
      </c>
      <c r="H39" s="122" t="str">
        <f t="shared" ref="H39:H40" si="11">IF($C$40=0,"-",G39/$C$40)</f>
        <v>-</v>
      </c>
    </row>
    <row r="40" spans="1:15" ht="15.7">
      <c r="A40" s="115"/>
      <c r="B40" s="121" t="s">
        <v>211</v>
      </c>
      <c r="C40" s="127">
        <f>C65+C39</f>
        <v>0</v>
      </c>
      <c r="D40" s="122" t="str">
        <f>IF($C$40=0,"-",C40/$C$40)</f>
        <v>-</v>
      </c>
      <c r="E40" s="127">
        <f t="shared" ref="E40" si="12">E65+E39</f>
        <v>0</v>
      </c>
      <c r="F40" s="122" t="str">
        <f t="shared" si="9"/>
        <v>-</v>
      </c>
      <c r="G40" s="127">
        <f t="shared" ref="G40" si="13">G65+G39</f>
        <v>0</v>
      </c>
      <c r="H40" s="122" t="str">
        <f t="shared" si="11"/>
        <v>-</v>
      </c>
    </row>
    <row r="41" spans="1:15">
      <c r="E41" s="24"/>
    </row>
    <row r="42" spans="1:15">
      <c r="E42" s="24"/>
    </row>
    <row r="43" spans="1:15" ht="17" thickBot="1">
      <c r="B43" s="118" t="s">
        <v>181</v>
      </c>
      <c r="C43" s="128"/>
      <c r="D43" s="119" t="s">
        <v>180</v>
      </c>
      <c r="E43" s="128"/>
      <c r="F43" s="119" t="s">
        <v>180</v>
      </c>
      <c r="G43" s="128"/>
      <c r="H43" s="119" t="s">
        <v>180</v>
      </c>
    </row>
    <row r="44" spans="1:15" ht="14.7" thickTop="1">
      <c r="B44" s="115"/>
      <c r="C44" s="125"/>
      <c r="D44" s="115"/>
      <c r="E44" s="125"/>
      <c r="F44" s="115"/>
      <c r="G44" s="125"/>
      <c r="H44" s="115"/>
      <c r="M44" s="24"/>
      <c r="N44" s="24"/>
      <c r="O44" s="24"/>
    </row>
    <row r="45" spans="1:15" ht="14.7" thickBot="1">
      <c r="B45" s="132" t="s">
        <v>60</v>
      </c>
      <c r="C45" s="199"/>
      <c r="D45" s="134"/>
      <c r="E45" s="199"/>
      <c r="F45" s="134"/>
      <c r="G45" s="199"/>
      <c r="H45" s="134"/>
      <c r="M45" s="24"/>
      <c r="N45" s="24"/>
      <c r="O45" s="24"/>
    </row>
    <row r="46" spans="1:15">
      <c r="B46" s="148" t="s">
        <v>313</v>
      </c>
      <c r="C46" s="554"/>
      <c r="D46" s="138"/>
      <c r="E46" s="554"/>
      <c r="F46" s="138"/>
      <c r="G46" s="554"/>
      <c r="H46" s="138"/>
      <c r="M46" s="24"/>
      <c r="N46" s="24"/>
      <c r="O46" s="24"/>
    </row>
    <row r="47" spans="1:15">
      <c r="B47" s="148" t="s">
        <v>314</v>
      </c>
      <c r="C47" s="554"/>
      <c r="D47" s="138"/>
      <c r="E47" s="554"/>
      <c r="F47" s="138"/>
      <c r="G47" s="554"/>
      <c r="H47" s="138"/>
      <c r="M47" s="24"/>
      <c r="N47" s="24"/>
      <c r="O47" s="24"/>
    </row>
    <row r="48" spans="1:15" ht="14.7" thickBot="1">
      <c r="B48" s="148" t="s">
        <v>315</v>
      </c>
      <c r="C48" s="554"/>
      <c r="D48" s="138"/>
      <c r="E48" s="554"/>
      <c r="F48" s="138"/>
      <c r="G48" s="554"/>
      <c r="H48" s="138"/>
      <c r="M48" s="24"/>
      <c r="N48" s="24"/>
      <c r="O48" s="24"/>
    </row>
    <row r="49" spans="2:15">
      <c r="B49" s="139" t="s">
        <v>319</v>
      </c>
      <c r="C49" s="140">
        <f>SUM(C46:C48)</f>
        <v>0</v>
      </c>
      <c r="D49" s="123"/>
      <c r="E49" s="140">
        <f>SUM(E46:E48)</f>
        <v>0</v>
      </c>
      <c r="F49" s="123"/>
      <c r="G49" s="140">
        <f>SUM(G46:G48)</f>
        <v>0</v>
      </c>
      <c r="H49" s="123"/>
      <c r="M49" s="24"/>
      <c r="N49" s="24"/>
      <c r="O49" s="24"/>
    </row>
    <row r="50" spans="2:15">
      <c r="B50" s="115"/>
      <c r="C50" s="125"/>
      <c r="D50" s="115"/>
      <c r="E50" s="125"/>
      <c r="F50" s="115"/>
      <c r="G50" s="125"/>
      <c r="H50" s="115"/>
    </row>
    <row r="51" spans="2:15" ht="14.7" thickBot="1">
      <c r="B51" s="132" t="s">
        <v>185</v>
      </c>
      <c r="C51" s="133" t="s">
        <v>183</v>
      </c>
      <c r="D51" s="134" t="s">
        <v>184</v>
      </c>
      <c r="E51" s="133" t="s">
        <v>183</v>
      </c>
      <c r="F51" s="134" t="s">
        <v>184</v>
      </c>
      <c r="G51" s="133" t="s">
        <v>183</v>
      </c>
      <c r="H51" s="134" t="s">
        <v>184</v>
      </c>
    </row>
    <row r="52" spans="2:15">
      <c r="B52" s="148" t="s">
        <v>187</v>
      </c>
      <c r="C52" s="551"/>
      <c r="D52" s="138" t="str">
        <f>IFERROR('Balance Sheet - Stakeholder 4'!$C52/E,"-")</f>
        <v>-</v>
      </c>
      <c r="E52" s="551"/>
      <c r="F52" s="138" t="str">
        <f>IFERROR('Balance Sheet - Stakeholder 4'!$C52/E,"-")</f>
        <v>-</v>
      </c>
      <c r="G52" s="551"/>
      <c r="H52" s="138" t="str">
        <f>IFERROR('Balance Sheet - Stakeholder 4'!$C52/E,"-")</f>
        <v>-</v>
      </c>
    </row>
    <row r="53" spans="2:15">
      <c r="B53" s="148" t="s">
        <v>189</v>
      </c>
      <c r="C53" s="552"/>
      <c r="D53" s="138" t="str">
        <f>IFERROR('Balance Sheet - Stakeholder 4'!$C53/E,"-")</f>
        <v>-</v>
      </c>
      <c r="E53" s="552"/>
      <c r="F53" s="138" t="str">
        <f>IFERROR('Balance Sheet - Stakeholder 4'!$C53/E,"-")</f>
        <v>-</v>
      </c>
      <c r="G53" s="552"/>
      <c r="H53" s="138" t="str">
        <f>IFERROR('Balance Sheet - Stakeholder 4'!$C53/E,"-")</f>
        <v>-</v>
      </c>
    </row>
    <row r="54" spans="2:15">
      <c r="B54" s="148" t="s">
        <v>191</v>
      </c>
      <c r="C54" s="552"/>
      <c r="D54" s="138" t="str">
        <f>IFERROR('Balance Sheet - Stakeholder 4'!$C54/E,"-")</f>
        <v>-</v>
      </c>
      <c r="E54" s="552"/>
      <c r="F54" s="138" t="str">
        <f>IFERROR('Balance Sheet - Stakeholder 4'!$C54/E,"-")</f>
        <v>-</v>
      </c>
      <c r="G54" s="552"/>
      <c r="H54" s="138" t="str">
        <f>IFERROR('Balance Sheet - Stakeholder 4'!$C54/E,"-")</f>
        <v>-</v>
      </c>
    </row>
    <row r="55" spans="2:15" ht="14.7" thickBot="1">
      <c r="B55" s="148" t="s">
        <v>193</v>
      </c>
      <c r="C55" s="553"/>
      <c r="D55" s="138" t="str">
        <f>IFERROR('Balance Sheet - Stakeholder 4'!$C55/E,"-")</f>
        <v>-</v>
      </c>
      <c r="E55" s="553"/>
      <c r="F55" s="138" t="str">
        <f>IFERROR('Balance Sheet - Stakeholder 4'!$C55/E,"-")</f>
        <v>-</v>
      </c>
      <c r="G55" s="553"/>
      <c r="H55" s="138" t="str">
        <f>IFERROR('Balance Sheet - Stakeholder 4'!$C55/E,"-")</f>
        <v>-</v>
      </c>
    </row>
    <row r="56" spans="2:15">
      <c r="B56" s="139" t="s">
        <v>195</v>
      </c>
      <c r="C56" s="140">
        <f>SUBTOTAL(109,'Balance Sheet - Stakeholder 4'!$C$52:$C$55)</f>
        <v>0</v>
      </c>
      <c r="D56" s="123">
        <f>SUBTOTAL(109,'Balance Sheet - Stakeholder 4'!$D$52:$D$55)</f>
        <v>0</v>
      </c>
      <c r="E56" s="140">
        <f>SUBTOTAL(109,'Balance Sheet - Stakeholder 4'!$E$52:$E$55)</f>
        <v>0</v>
      </c>
      <c r="F56" s="123">
        <f>SUBTOTAL(109,'Balance Sheet - Stakeholder 4'!$D$52:$D$55)</f>
        <v>0</v>
      </c>
      <c r="G56" s="140">
        <f>SUBTOTAL(109,'Balance Sheet - Stakeholder 4'!$G$52:$G$55)</f>
        <v>0</v>
      </c>
      <c r="H56" s="123">
        <f>SUBTOTAL(109,'Balance Sheet - Stakeholder 4'!$D$52:$D$55)</f>
        <v>0</v>
      </c>
    </row>
    <row r="57" spans="2:15">
      <c r="B57" s="115"/>
      <c r="C57" s="125"/>
      <c r="D57" s="115"/>
      <c r="E57" s="125"/>
      <c r="F57" s="115"/>
      <c r="G57" s="125"/>
      <c r="H57" s="115"/>
    </row>
    <row r="58" spans="2:15" ht="14.7" thickBot="1">
      <c r="B58" s="132" t="s">
        <v>199</v>
      </c>
      <c r="C58" s="133" t="s">
        <v>183</v>
      </c>
      <c r="D58" s="134" t="s">
        <v>184</v>
      </c>
      <c r="E58" s="133" t="s">
        <v>183</v>
      </c>
      <c r="F58" s="134" t="s">
        <v>184</v>
      </c>
      <c r="G58" s="133" t="s">
        <v>183</v>
      </c>
      <c r="H58" s="134" t="s">
        <v>184</v>
      </c>
    </row>
    <row r="59" spans="2:15">
      <c r="B59" s="148" t="s">
        <v>201</v>
      </c>
      <c r="C59" s="551"/>
      <c r="D59" s="138" t="str">
        <f>IFERROR('Balance Sheet - Stakeholder 4'!$C59/E,"-")</f>
        <v>-</v>
      </c>
      <c r="E59" s="551"/>
      <c r="F59" s="138" t="str">
        <f>IFERROR('Balance Sheet - Stakeholder 4'!$C59/E,"-")</f>
        <v>-</v>
      </c>
      <c r="G59" s="551"/>
      <c r="H59" s="138" t="str">
        <f>IFERROR('Balance Sheet - Stakeholder 4'!$C59/E,"-")</f>
        <v>-</v>
      </c>
    </row>
    <row r="60" spans="2:15">
      <c r="B60" s="148" t="s">
        <v>203</v>
      </c>
      <c r="C60" s="552"/>
      <c r="D60" s="138" t="str">
        <f>IFERROR('Balance Sheet - Stakeholder 4'!$C60/E,"-")</f>
        <v>-</v>
      </c>
      <c r="E60" s="552"/>
      <c r="F60" s="138" t="str">
        <f>IFERROR('Balance Sheet - Stakeholder 4'!$C60/E,"-")</f>
        <v>-</v>
      </c>
      <c r="G60" s="552"/>
      <c r="H60" s="138" t="str">
        <f>IFERROR('Balance Sheet - Stakeholder 4'!$C60/E,"-")</f>
        <v>-</v>
      </c>
    </row>
    <row r="61" spans="2:15">
      <c r="B61" s="148" t="s">
        <v>194</v>
      </c>
      <c r="C61" s="552"/>
      <c r="D61" s="138" t="str">
        <f>IFERROR('Balance Sheet - Stakeholder 4'!$C61/E,"-")</f>
        <v>-</v>
      </c>
      <c r="E61" s="552"/>
      <c r="F61" s="138" t="str">
        <f>IFERROR('Balance Sheet - Stakeholder 4'!$C61/E,"-")</f>
        <v>-</v>
      </c>
      <c r="G61" s="552"/>
      <c r="H61" s="138" t="str">
        <f>IFERROR('Balance Sheet - Stakeholder 4'!$C61/E,"-")</f>
        <v>-</v>
      </c>
    </row>
    <row r="62" spans="2:15" ht="14.7" thickBot="1">
      <c r="B62" s="148" t="s">
        <v>204</v>
      </c>
      <c r="C62" s="553"/>
      <c r="D62" s="138" t="str">
        <f>IFERROR('Balance Sheet - Stakeholder 4'!$C62/E,"-")</f>
        <v>-</v>
      </c>
      <c r="E62" s="553"/>
      <c r="F62" s="138" t="str">
        <f>IFERROR('Balance Sheet - Stakeholder 4'!$C62/E,"-")</f>
        <v>-</v>
      </c>
      <c r="G62" s="553"/>
      <c r="H62" s="138" t="str">
        <f>IFERROR('Balance Sheet - Stakeholder 4'!$C62/E,"-")</f>
        <v>-</v>
      </c>
    </row>
    <row r="63" spans="2:15">
      <c r="B63" s="139" t="s">
        <v>4</v>
      </c>
      <c r="C63" s="140">
        <f>SUM('Balance Sheet - Stakeholder 4'!$C$59:$C$62)</f>
        <v>0</v>
      </c>
      <c r="D63" s="123">
        <f>SUBTOTAL(109,'Balance Sheet - Stakeholder 4'!$D$59:$D$62)</f>
        <v>0</v>
      </c>
      <c r="E63" s="140">
        <f>SUM('Balance Sheet - Stakeholder 4'!$E$59:$E$62)</f>
        <v>0</v>
      </c>
      <c r="F63" s="123">
        <f>SUBTOTAL(109,'Balance Sheet - Stakeholder 4'!$D$59:$D$62)</f>
        <v>0</v>
      </c>
      <c r="G63" s="140">
        <f>SUM('Balance Sheet - Stakeholder 4'!$G$59:$G$62)</f>
        <v>0</v>
      </c>
      <c r="H63" s="123">
        <f>SUBTOTAL(109,'Balance Sheet - Stakeholder 4'!$D$59:$D$62)</f>
        <v>0</v>
      </c>
    </row>
    <row r="64" spans="2:15">
      <c r="B64" s="120"/>
      <c r="C64" s="120"/>
      <c r="D64" s="120"/>
      <c r="E64" s="120"/>
      <c r="F64" s="120"/>
      <c r="G64" s="120"/>
      <c r="H64" s="120"/>
    </row>
    <row r="65" spans="2:8" ht="16" thickBot="1">
      <c r="B65" s="143" t="s">
        <v>245</v>
      </c>
      <c r="C65" s="144">
        <f>C49+C56+C63</f>
        <v>0</v>
      </c>
      <c r="D65" s="145" t="str">
        <f>IFERROR(C65/E,"-")</f>
        <v>-</v>
      </c>
      <c r="E65" s="144">
        <f>E49+E56+E63</f>
        <v>0</v>
      </c>
      <c r="F65" s="145" t="str">
        <f>IFERROR(E65/E,"-")</f>
        <v>-</v>
      </c>
      <c r="G65" s="144">
        <f>G49+G56+G63</f>
        <v>0</v>
      </c>
      <c r="H65" s="145" t="str">
        <f>IFERROR(G65/E,"-")</f>
        <v>-</v>
      </c>
    </row>
    <row r="66" spans="2:8" ht="14.7" thickTop="1"/>
    <row r="67" spans="2:8" hidden="1">
      <c r="B67" t="s">
        <v>251</v>
      </c>
      <c r="C67" s="152">
        <f>'Pre-conditions'!B9+Financing!B3*'Pre-conditions'!B8</f>
        <v>0.105</v>
      </c>
    </row>
    <row r="68" spans="2:8" hidden="1">
      <c r="B68" t="s">
        <v>252</v>
      </c>
      <c r="C68" s="152">
        <f>('Pre-conditions'!B9+'Pre-conditions'!B11)*(1-'Pre-conditions'!B12)</f>
        <v>6.9999999999999993E-2</v>
      </c>
    </row>
    <row r="69" spans="2:8" ht="14.7" thickBot="1">
      <c r="B69" s="159" t="s">
        <v>129</v>
      </c>
      <c r="C69" s="160" t="e">
        <f>(D39*$C67)+(D40-D39)*$C68</f>
        <v>#VALUE!</v>
      </c>
      <c r="D69" s="159"/>
      <c r="E69" s="160" t="e">
        <f>(F39*$C67)+(F40-F39)*$C68</f>
        <v>#VALUE!</v>
      </c>
      <c r="F69" s="159"/>
      <c r="G69" s="160" t="e">
        <f>(H39*$C67)+(H40-H39)*$C68</f>
        <v>#VALUE!</v>
      </c>
      <c r="H69" s="159"/>
    </row>
  </sheetData>
  <sheetProtection algorithmName="SHA-512" hashValue="oELiB4AHKuE2tePF6QVjdpF3OcrUpHtuIO635Ey1wnNVXAb+08lKLnNtCvoSLuSHp+vIARlSiwdmB0IWaL6R5A==" saltValue="otvwTbAoOAloE1VSegGo2Q==" spinCount="100000" sheet="1" objects="1" scenarios="1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69"/>
  <sheetViews>
    <sheetView topLeftCell="A9" zoomScale="70" zoomScaleNormal="70" workbookViewId="0">
      <selection activeCell="A53" sqref="A53:XFD53"/>
    </sheetView>
  </sheetViews>
  <sheetFormatPr defaultRowHeight="14.35"/>
  <cols>
    <col min="1" max="1" width="2" customWidth="1"/>
    <col min="2" max="2" width="51.703125" customWidth="1"/>
    <col min="3" max="3" width="20.29296875" style="24" customWidth="1"/>
    <col min="4" max="6" width="20.29296875" customWidth="1"/>
    <col min="7" max="7" width="20.29296875" style="24" customWidth="1"/>
    <col min="8" max="8" width="20.29296875" customWidth="1"/>
  </cols>
  <sheetData>
    <row r="1" spans="1:8" ht="14.7" thickBot="1">
      <c r="A1" s="570" t="s">
        <v>174</v>
      </c>
      <c r="B1" s="570"/>
      <c r="C1" s="570"/>
      <c r="D1" s="570"/>
      <c r="E1" s="161" t="s">
        <v>257</v>
      </c>
      <c r="F1" s="549" t="str">
        <f>'Applicant information'!B14</f>
        <v>N/A</v>
      </c>
      <c r="G1" s="550"/>
      <c r="H1" s="550"/>
    </row>
    <row r="2" spans="1:8" ht="15" thickTop="1" thickBot="1">
      <c r="A2" s="570"/>
      <c r="B2" s="570"/>
      <c r="C2" s="570"/>
      <c r="D2" s="570"/>
      <c r="E2" s="115"/>
      <c r="G2" s="125"/>
      <c r="H2" s="115"/>
    </row>
    <row r="3" spans="1:8" ht="16" thickTop="1">
      <c r="A3" s="115"/>
      <c r="B3" s="116" t="s">
        <v>214</v>
      </c>
      <c r="C3" s="142">
        <f>'Pre-conditions'!B4-2</f>
        <v>2013</v>
      </c>
      <c r="D3" s="141"/>
      <c r="E3" s="142">
        <f>'Pre-conditions'!B4-3</f>
        <v>2012</v>
      </c>
      <c r="F3" s="141"/>
      <c r="G3" s="142">
        <f>'Pre-conditions'!B4-4</f>
        <v>2011</v>
      </c>
      <c r="H3" s="141"/>
    </row>
    <row r="4" spans="1:8" ht="15.7">
      <c r="A4" s="115"/>
      <c r="B4" s="117" t="s">
        <v>243</v>
      </c>
      <c r="C4" s="153" t="str">
        <f>IFERROR('Balance Sheet - Stakeholder 5'!$C$23/'Balance Sheet - Stakeholder 5'!$C$56,"-")</f>
        <v>-</v>
      </c>
      <c r="D4" s="115"/>
      <c r="E4" s="153" t="str">
        <f>IFERROR('Balance Sheet - Stakeholder 5'!$E$23/'Balance Sheet - Stakeholder 5'!$E$56,"-")</f>
        <v>-</v>
      </c>
      <c r="F4" s="115"/>
      <c r="G4" s="153" t="str">
        <f>IFERROR('Balance Sheet - Stakeholder 5'!$G$23/'Balance Sheet - Stakeholder 5'!$G$56,"-")</f>
        <v>-</v>
      </c>
      <c r="H4" s="115"/>
    </row>
    <row r="5" spans="1:8" ht="15.7">
      <c r="A5" s="115"/>
      <c r="B5" s="117" t="s">
        <v>175</v>
      </c>
      <c r="C5" s="153" t="str">
        <f>IFERROR(('Balance Sheet - Stakeholder 5'!$C$23-C20)/'Balance Sheet - Stakeholder 5'!$C$56,"-")</f>
        <v>-</v>
      </c>
      <c r="D5" s="115"/>
      <c r="E5" s="153" t="str">
        <f>IFERROR(('Balance Sheet - Stakeholder 5'!$E$23-E20)/'Balance Sheet - Stakeholder 5'!$E$56,"-")</f>
        <v>-</v>
      </c>
      <c r="F5" s="115"/>
      <c r="G5" s="153" t="str">
        <f>IFERROR(('Balance Sheet - Stakeholder 5'!$G$23-G20)/'Balance Sheet - Stakeholder 5'!$G$56,"-")</f>
        <v>-</v>
      </c>
      <c r="H5" s="115"/>
    </row>
    <row r="6" spans="1:8" ht="15.7">
      <c r="A6" s="115"/>
      <c r="B6" s="117" t="s">
        <v>177</v>
      </c>
      <c r="C6" s="153" t="e">
        <f>C17/C56</f>
        <v>#DIV/0!</v>
      </c>
      <c r="D6" s="115"/>
      <c r="E6" s="153" t="str">
        <f>IFERROR(E17/'Balance Sheet - Stakeholder 5'!$E$56,"-")</f>
        <v>-</v>
      </c>
      <c r="F6" s="115"/>
      <c r="G6" s="153" t="str">
        <f>IFERROR(G17/'Balance Sheet - Stakeholder 5'!$G$56,"-")</f>
        <v>-</v>
      </c>
      <c r="H6" s="115"/>
    </row>
    <row r="7" spans="1:8" ht="17.25" customHeight="1">
      <c r="A7" s="115"/>
      <c r="B7" s="117" t="s">
        <v>213</v>
      </c>
      <c r="C7" s="131">
        <f>IFERROR(('Balance Sheet - Stakeholder 5'!$C$23-'Balance Sheet - Stakeholder 5'!$C$56),"-")</f>
        <v>0</v>
      </c>
      <c r="D7" s="115"/>
      <c r="E7" s="131">
        <f>IFERROR(('Balance Sheet - Stakeholder 5'!$E$23-'Balance Sheet - Stakeholder 5'!$E$56),"-")</f>
        <v>0</v>
      </c>
      <c r="F7" s="115"/>
      <c r="G7" s="131">
        <f>IFERROR(('Balance Sheet - Stakeholder 5'!$G$23-'Balance Sheet - Stakeholder 5'!$G$56),"-")</f>
        <v>0</v>
      </c>
      <c r="H7" s="115"/>
    </row>
    <row r="8" spans="1:8" ht="15.75" customHeight="1">
      <c r="A8" s="115"/>
      <c r="B8" s="117" t="s">
        <v>176</v>
      </c>
      <c r="C8" s="153" t="str">
        <f>IFERROR((C59+C52)/C49,"-")</f>
        <v>-</v>
      </c>
      <c r="D8" s="115"/>
      <c r="E8" s="153" t="str">
        <f>IFERROR((E59+E52)/E49,"-")</f>
        <v>-</v>
      </c>
      <c r="F8" s="115"/>
      <c r="G8" s="153" t="str">
        <f>IFERROR((G59+G52)/G49,"-")</f>
        <v>-</v>
      </c>
      <c r="H8" s="115"/>
    </row>
    <row r="9" spans="1:8" ht="17.25" customHeight="1">
      <c r="A9" s="115"/>
      <c r="B9" s="117" t="s">
        <v>178</v>
      </c>
      <c r="C9" s="153" t="str">
        <f>IFERROR((C59+C52)/C37,"-")</f>
        <v>-</v>
      </c>
      <c r="D9" s="115"/>
      <c r="E9" s="153" t="str">
        <f t="shared" ref="E9" si="0">IFERROR((E59+E52)/E37,"-")</f>
        <v>-</v>
      </c>
      <c r="F9" s="115"/>
      <c r="G9" s="153" t="str">
        <f t="shared" ref="G9" si="1">IFERROR((G59+G52)/G37,"-")</f>
        <v>-</v>
      </c>
      <c r="H9" s="115"/>
    </row>
    <row r="10" spans="1:8" ht="17.25" customHeight="1">
      <c r="A10" s="115"/>
      <c r="B10" s="117" t="s">
        <v>322</v>
      </c>
      <c r="C10" s="153">
        <f>'Income Sheet - Stakeholder 1'!C12/(('Balance Sheet - Stakeholder 1'!E37+'Balance Sheet - Stakeholder 1'!C37)/2)</f>
        <v>0.1008434463139854</v>
      </c>
      <c r="D10" s="115"/>
      <c r="E10" s="153">
        <f>'Income Sheet - Stakeholder 1'!E12/(('Balance Sheet - Stakeholder 1'!G37+'Balance Sheet - Stakeholder 1'!E37)/2)</f>
        <v>0.16748533381013503</v>
      </c>
      <c r="F10" s="115"/>
      <c r="G10" s="153">
        <f>'Income Sheet - Stakeholder 1'!G12/(('Balance Sheet - Stakeholder 1'!I37+'Balance Sheet - Stakeholder 1'!G37)/2)</f>
        <v>0.16370842075225889</v>
      </c>
      <c r="H10" s="115"/>
    </row>
    <row r="11" spans="1:8" ht="17.25" customHeight="1">
      <c r="A11" s="115"/>
      <c r="B11" s="117" t="s">
        <v>323</v>
      </c>
      <c r="C11" s="153">
        <f>'Income Sheet - Stakeholder 1'!C43/('Balance Sheet - Stakeholder 1'!C37-'Balance Sheet - Stakeholder 1'!C56)</f>
        <v>7.3444744858604041E-2</v>
      </c>
      <c r="D11" s="115"/>
      <c r="E11" s="153">
        <f>'Income Sheet - Stakeholder 1'!E43/('Balance Sheet - Stakeholder 1'!E37-'Balance Sheet - Stakeholder 1'!E56)</f>
        <v>0.12877214894211775</v>
      </c>
      <c r="F11" s="115"/>
      <c r="G11" s="153">
        <f>'Income Sheet - Stakeholder 1'!G43/('Balance Sheet - Stakeholder 1'!G37-'Balance Sheet - Stakeholder 1'!G56)</f>
        <v>6.9133974874563783E-2</v>
      </c>
      <c r="H11" s="115"/>
    </row>
    <row r="12" spans="1:8" ht="17.25" customHeight="1">
      <c r="A12" s="115"/>
      <c r="B12" s="117" t="s">
        <v>244</v>
      </c>
      <c r="C12" s="153" t="e">
        <f>(C52+C59)/(C37-C65+C49)</f>
        <v>#DIV/0!</v>
      </c>
      <c r="D12" s="115"/>
      <c r="E12" s="153" t="e">
        <f>(E52+E59)/(E37-E65+E49)</f>
        <v>#DIV/0!</v>
      </c>
      <c r="F12" s="115"/>
      <c r="G12" s="153" t="e">
        <f>(G52+G59)/(G37-G65+G49)</f>
        <v>#DIV/0!</v>
      </c>
      <c r="H12" s="115"/>
    </row>
    <row r="13" spans="1:8" ht="23.35">
      <c r="A13" s="115"/>
      <c r="B13" s="129"/>
      <c r="C13" s="125"/>
      <c r="D13" s="115"/>
      <c r="E13" s="125"/>
      <c r="F13" s="115"/>
      <c r="G13" s="125"/>
      <c r="H13" s="115"/>
    </row>
    <row r="14" spans="1:8" ht="17" thickBot="1">
      <c r="A14" s="115"/>
      <c r="B14" s="118" t="s">
        <v>179</v>
      </c>
      <c r="C14" s="126"/>
      <c r="D14" s="119" t="s">
        <v>180</v>
      </c>
      <c r="E14" s="126"/>
      <c r="F14" s="119" t="s">
        <v>180</v>
      </c>
      <c r="G14" s="126"/>
      <c r="H14" s="119" t="s">
        <v>180</v>
      </c>
    </row>
    <row r="15" spans="1:8" ht="14.7" thickTop="1">
      <c r="A15" s="115"/>
      <c r="B15" s="115"/>
      <c r="C15" s="125"/>
      <c r="D15" s="115"/>
      <c r="E15" s="125"/>
      <c r="F15" s="115"/>
      <c r="G15" s="125"/>
      <c r="H15" s="115"/>
    </row>
    <row r="16" spans="1:8" ht="14.7" thickBot="1">
      <c r="A16" s="115"/>
      <c r="B16" s="132" t="s">
        <v>182</v>
      </c>
      <c r="C16" s="133" t="s">
        <v>212</v>
      </c>
      <c r="D16" s="134" t="s">
        <v>184</v>
      </c>
      <c r="E16" s="133" t="s">
        <v>212</v>
      </c>
      <c r="F16" s="134" t="s">
        <v>184</v>
      </c>
      <c r="G16" s="133" t="s">
        <v>212</v>
      </c>
      <c r="H16" s="134" t="s">
        <v>184</v>
      </c>
    </row>
    <row r="17" spans="1:8">
      <c r="A17" s="115"/>
      <c r="B17" s="148" t="s">
        <v>186</v>
      </c>
      <c r="C17" s="551"/>
      <c r="D17" s="138" t="e">
        <f>'Balance Sheet - Stakeholder 5'!$C17/C$37</f>
        <v>#DIV/0!</v>
      </c>
      <c r="E17" s="551"/>
      <c r="F17" s="138" t="e">
        <f>'Balance Sheet - Stakeholder 5'!$C17/E$37</f>
        <v>#DIV/0!</v>
      </c>
      <c r="G17" s="551"/>
      <c r="H17" s="138" t="e">
        <f>'Balance Sheet - Stakeholder 5'!$C17/G$37</f>
        <v>#DIV/0!</v>
      </c>
    </row>
    <row r="18" spans="1:8">
      <c r="A18" s="115"/>
      <c r="B18" s="148" t="s">
        <v>188</v>
      </c>
      <c r="C18" s="552"/>
      <c r="D18" s="138" t="e">
        <f>'Balance Sheet - Stakeholder 5'!$C18/C$37</f>
        <v>#DIV/0!</v>
      </c>
      <c r="E18" s="552"/>
      <c r="F18" s="138" t="e">
        <f>'Balance Sheet - Stakeholder 5'!$C18/E$37</f>
        <v>#DIV/0!</v>
      </c>
      <c r="G18" s="552"/>
      <c r="H18" s="138" t="e">
        <f>'Balance Sheet - Stakeholder 5'!$C18/G$37</f>
        <v>#DIV/0!</v>
      </c>
    </row>
    <row r="19" spans="1:8">
      <c r="A19" s="115"/>
      <c r="B19" s="148" t="s">
        <v>190</v>
      </c>
      <c r="C19" s="552"/>
      <c r="D19" s="138" t="e">
        <f>'Balance Sheet - Stakeholder 5'!$C19/C$37</f>
        <v>#DIV/0!</v>
      </c>
      <c r="E19" s="552"/>
      <c r="F19" s="138" t="e">
        <f>'Balance Sheet - Stakeholder 5'!$C19/E$37</f>
        <v>#DIV/0!</v>
      </c>
      <c r="G19" s="552"/>
      <c r="H19" s="138" t="e">
        <f>'Balance Sheet - Stakeholder 5'!$C19/G$37</f>
        <v>#DIV/0!</v>
      </c>
    </row>
    <row r="20" spans="1:8">
      <c r="A20" s="115"/>
      <c r="B20" s="148" t="s">
        <v>192</v>
      </c>
      <c r="C20" s="552"/>
      <c r="D20" s="138" t="e">
        <f>'Balance Sheet - Stakeholder 5'!$C20/C$37</f>
        <v>#DIV/0!</v>
      </c>
      <c r="E20" s="552"/>
      <c r="F20" s="138" t="e">
        <f>'Balance Sheet - Stakeholder 5'!$C20/E$37</f>
        <v>#DIV/0!</v>
      </c>
      <c r="G20" s="552"/>
      <c r="H20" s="138" t="e">
        <f>'Balance Sheet - Stakeholder 5'!$C20/G$37</f>
        <v>#DIV/0!</v>
      </c>
    </row>
    <row r="21" spans="1:8">
      <c r="A21" s="115"/>
      <c r="B21" s="148" t="s">
        <v>194</v>
      </c>
      <c r="C21" s="552"/>
      <c r="D21" s="138" t="e">
        <f>'Balance Sheet - Stakeholder 5'!$C21/C$37</f>
        <v>#DIV/0!</v>
      </c>
      <c r="E21" s="552"/>
      <c r="F21" s="138" t="e">
        <f>'Balance Sheet - Stakeholder 5'!$C21/E$37</f>
        <v>#DIV/0!</v>
      </c>
      <c r="G21" s="552"/>
      <c r="H21" s="138" t="e">
        <f>'Balance Sheet - Stakeholder 5'!$C21/G$37</f>
        <v>#DIV/0!</v>
      </c>
    </row>
    <row r="22" spans="1:8" ht="14.7" thickBot="1">
      <c r="A22" s="115"/>
      <c r="B22" s="148" t="s">
        <v>196</v>
      </c>
      <c r="C22" s="553"/>
      <c r="D22" s="138" t="e">
        <f>'Balance Sheet - Stakeholder 5'!$C22/C$37</f>
        <v>#DIV/0!</v>
      </c>
      <c r="E22" s="553"/>
      <c r="F22" s="138" t="e">
        <f>'Balance Sheet - Stakeholder 5'!$C22/E$37</f>
        <v>#DIV/0!</v>
      </c>
      <c r="G22" s="553"/>
      <c r="H22" s="138" t="e">
        <f>'Balance Sheet - Stakeholder 5'!$C22/G$37</f>
        <v>#DIV/0!</v>
      </c>
    </row>
    <row r="23" spans="1:8">
      <c r="A23" s="115"/>
      <c r="B23" s="135" t="s">
        <v>197</v>
      </c>
      <c r="C23" s="136">
        <f>SUBTOTAL(109,'Balance Sheet - Stakeholder 5'!$C$17:$C$22)</f>
        <v>0</v>
      </c>
      <c r="D23" s="130" t="e">
        <f>C23/C37</f>
        <v>#DIV/0!</v>
      </c>
      <c r="E23" s="136">
        <f>SUBTOTAL(109,'Balance Sheet - Stakeholder 5'!$E$17:$E$22)</f>
        <v>0</v>
      </c>
      <c r="F23" s="130" t="e">
        <f t="shared" ref="F23" si="2">E23/E37</f>
        <v>#DIV/0!</v>
      </c>
      <c r="G23" s="136">
        <f>SUBTOTAL(109,'Balance Sheet - Stakeholder 5'!$G$17:$G$22)</f>
        <v>0</v>
      </c>
      <c r="H23" s="130" t="e">
        <f t="shared" ref="H23" si="3">G23/G37</f>
        <v>#DIV/0!</v>
      </c>
    </row>
    <row r="24" spans="1:8">
      <c r="A24" s="115"/>
      <c r="B24" s="120"/>
      <c r="C24" s="120"/>
      <c r="D24" s="120"/>
      <c r="E24" s="120"/>
      <c r="F24" s="120"/>
      <c r="G24" s="120"/>
      <c r="H24" s="120"/>
    </row>
    <row r="25" spans="1:8" ht="14.7" thickBot="1">
      <c r="A25" s="115"/>
      <c r="B25" s="132" t="s">
        <v>198</v>
      </c>
      <c r="C25" s="133" t="s">
        <v>183</v>
      </c>
      <c r="D25" s="134" t="s">
        <v>184</v>
      </c>
      <c r="E25" s="133" t="s">
        <v>183</v>
      </c>
      <c r="F25" s="134" t="s">
        <v>184</v>
      </c>
      <c r="G25" s="133" t="s">
        <v>183</v>
      </c>
      <c r="H25" s="134" t="s">
        <v>184</v>
      </c>
    </row>
    <row r="26" spans="1:8">
      <c r="A26" s="115"/>
      <c r="B26" s="148" t="s">
        <v>200</v>
      </c>
      <c r="C26" s="551"/>
      <c r="D26" s="138" t="e">
        <f>'Balance Sheet - Stakeholder 5'!$C26/C37</f>
        <v>#DIV/0!</v>
      </c>
      <c r="E26" s="551"/>
      <c r="F26" s="138" t="e">
        <f>'Balance Sheet - Stakeholder 5'!$C26/E37</f>
        <v>#DIV/0!</v>
      </c>
      <c r="G26" s="551"/>
      <c r="H26" s="138" t="e">
        <f>'Balance Sheet - Stakeholder 5'!$C26/G37</f>
        <v>#DIV/0!</v>
      </c>
    </row>
    <row r="27" spans="1:8" ht="14.7" thickBot="1">
      <c r="A27" s="115"/>
      <c r="B27" s="148" t="s">
        <v>202</v>
      </c>
      <c r="C27" s="553"/>
      <c r="D27" s="138" t="e">
        <f>'Balance Sheet - Stakeholder 5'!$C27/C37</f>
        <v>#DIV/0!</v>
      </c>
      <c r="E27" s="553"/>
      <c r="F27" s="138" t="e">
        <f>'Balance Sheet - Stakeholder 5'!$C27/E37</f>
        <v>#DIV/0!</v>
      </c>
      <c r="G27" s="553"/>
      <c r="H27" s="138" t="e">
        <f>'Balance Sheet - Stakeholder 5'!$C27/G37</f>
        <v>#DIV/0!</v>
      </c>
    </row>
    <row r="28" spans="1:8">
      <c r="A28" s="115"/>
      <c r="B28" s="135" t="s">
        <v>4</v>
      </c>
      <c r="C28" s="136">
        <f>SUM('Balance Sheet - Stakeholder 5'!$C$26:$C$27)</f>
        <v>0</v>
      </c>
      <c r="D28" s="130" t="e">
        <f>C28/C37</f>
        <v>#DIV/0!</v>
      </c>
      <c r="E28" s="136">
        <f>SUM('Balance Sheet - Stakeholder 5'!$E$26:$E$27)</f>
        <v>0</v>
      </c>
      <c r="F28" s="130" t="e">
        <f t="shared" ref="F28" si="4">E28/E37</f>
        <v>#DIV/0!</v>
      </c>
      <c r="G28" s="136">
        <f>SUM('Balance Sheet - Stakeholder 5'!$G$26:$G$27)</f>
        <v>0</v>
      </c>
      <c r="H28" s="130" t="e">
        <f t="shared" ref="H28" si="5">G28/G37</f>
        <v>#DIV/0!</v>
      </c>
    </row>
    <row r="29" spans="1:8">
      <c r="A29" s="115"/>
      <c r="B29" s="120"/>
      <c r="C29" s="120"/>
      <c r="D29" s="120"/>
      <c r="E29" s="120"/>
      <c r="F29" s="120"/>
      <c r="G29" s="120"/>
      <c r="H29" s="120"/>
    </row>
    <row r="30" spans="1:8" ht="14.7" thickBot="1">
      <c r="A30" s="115"/>
      <c r="B30" s="132" t="s">
        <v>205</v>
      </c>
      <c r="C30" s="133" t="s">
        <v>183</v>
      </c>
      <c r="D30" s="134" t="s">
        <v>184</v>
      </c>
      <c r="E30" s="133" t="s">
        <v>183</v>
      </c>
      <c r="F30" s="134" t="s">
        <v>184</v>
      </c>
      <c r="G30" s="133" t="s">
        <v>183</v>
      </c>
      <c r="H30" s="134" t="s">
        <v>184</v>
      </c>
    </row>
    <row r="31" spans="1:8">
      <c r="A31" s="115"/>
      <c r="B31" s="148" t="s">
        <v>206</v>
      </c>
      <c r="C31" s="551"/>
      <c r="D31" s="138" t="e">
        <f>'Balance Sheet - Stakeholder 5'!$C31/C$37</f>
        <v>#DIV/0!</v>
      </c>
      <c r="E31" s="551"/>
      <c r="F31" s="138" t="e">
        <f>'Balance Sheet - Stakeholder 5'!$C31/E$37</f>
        <v>#DIV/0!</v>
      </c>
      <c r="G31" s="551"/>
      <c r="H31" s="138" t="e">
        <f>'Balance Sheet - Stakeholder 5'!$C31/G$37</f>
        <v>#DIV/0!</v>
      </c>
    </row>
    <row r="32" spans="1:8">
      <c r="A32" s="115"/>
      <c r="B32" s="148" t="s">
        <v>207</v>
      </c>
      <c r="C32" s="552"/>
      <c r="D32" s="138" t="e">
        <f>'Balance Sheet - Stakeholder 5'!$C32/C$37</f>
        <v>#DIV/0!</v>
      </c>
      <c r="E32" s="552"/>
      <c r="F32" s="138" t="e">
        <f>'Balance Sheet - Stakeholder 5'!$C32/E$37</f>
        <v>#DIV/0!</v>
      </c>
      <c r="G32" s="552"/>
      <c r="H32" s="138" t="e">
        <f>'Balance Sheet - Stakeholder 5'!$C32/G$37</f>
        <v>#DIV/0!</v>
      </c>
    </row>
    <row r="33" spans="1:15">
      <c r="A33" s="115"/>
      <c r="B33" s="148" t="s">
        <v>194</v>
      </c>
      <c r="C33" s="552"/>
      <c r="D33" s="138" t="e">
        <f>'Balance Sheet - Stakeholder 5'!$C33/C$37</f>
        <v>#DIV/0!</v>
      </c>
      <c r="E33" s="552"/>
      <c r="F33" s="138" t="e">
        <f>'Balance Sheet - Stakeholder 5'!$C33/E$37</f>
        <v>#DIV/0!</v>
      </c>
      <c r="G33" s="552"/>
      <c r="H33" s="138" t="e">
        <f>'Balance Sheet - Stakeholder 5'!$C33/G$37</f>
        <v>#DIV/0!</v>
      </c>
    </row>
    <row r="34" spans="1:15" ht="14.7" thickBot="1">
      <c r="A34" s="115"/>
      <c r="B34" s="148" t="s">
        <v>208</v>
      </c>
      <c r="C34" s="553"/>
      <c r="D34" s="138" t="e">
        <f>'Balance Sheet - Stakeholder 5'!$C34/C$37</f>
        <v>#DIV/0!</v>
      </c>
      <c r="E34" s="553"/>
      <c r="F34" s="138" t="e">
        <f>'Balance Sheet - Stakeholder 5'!$C34/E$37</f>
        <v>#DIV/0!</v>
      </c>
      <c r="G34" s="553"/>
      <c r="H34" s="138" t="e">
        <f>'Balance Sheet - Stakeholder 5'!$C34/G$37</f>
        <v>#DIV/0!</v>
      </c>
    </row>
    <row r="35" spans="1:15">
      <c r="A35" s="115"/>
      <c r="B35" s="137" t="s">
        <v>4</v>
      </c>
      <c r="C35" s="136">
        <f>SUM('Balance Sheet - Stakeholder 5'!$C$31:$C$34)</f>
        <v>0</v>
      </c>
      <c r="D35" s="124" t="e">
        <f>C35/C37</f>
        <v>#DIV/0!</v>
      </c>
      <c r="E35" s="136">
        <f>SUM('Balance Sheet - Stakeholder 5'!$E$31:$E$34)</f>
        <v>0</v>
      </c>
      <c r="F35" s="124" t="e">
        <f t="shared" ref="F35" si="6">E35/E37</f>
        <v>#DIV/0!</v>
      </c>
      <c r="G35" s="136">
        <f>SUM('Balance Sheet - Stakeholder 5'!$G$31:$G$34)</f>
        <v>0</v>
      </c>
      <c r="H35" s="124" t="e">
        <f t="shared" ref="H35" si="7">G35/G37</f>
        <v>#DIV/0!</v>
      </c>
    </row>
    <row r="36" spans="1:15">
      <c r="A36" s="115"/>
      <c r="B36" s="120"/>
      <c r="C36" s="120"/>
      <c r="D36" s="120"/>
      <c r="E36" s="120"/>
      <c r="F36" s="120"/>
      <c r="G36" s="120"/>
      <c r="H36" s="120"/>
    </row>
    <row r="37" spans="1:15" ht="16" thickBot="1">
      <c r="A37" s="115"/>
      <c r="B37" s="143" t="s">
        <v>209</v>
      </c>
      <c r="C37" s="144">
        <f>C23+C28+C35</f>
        <v>0</v>
      </c>
      <c r="D37" s="145" t="e">
        <f>SUM('Balance Sheet - Stakeholder 5'!$D$17:$D$22,'Balance Sheet - Stakeholder 5'!$D$26:$D$27,'Balance Sheet - Stakeholder 5'!$D$31:$D$34)</f>
        <v>#DIV/0!</v>
      </c>
      <c r="E37" s="144">
        <f>E23+E28+E35</f>
        <v>0</v>
      </c>
      <c r="F37" s="145" t="e">
        <f>SUM('Balance Sheet - Stakeholder 5'!$D$17:$D$22,'Balance Sheet - Stakeholder 5'!$D$26:$D$27,'Balance Sheet - Stakeholder 5'!$D$31:$D$34)</f>
        <v>#DIV/0!</v>
      </c>
      <c r="G37" s="144">
        <f>G23+G28+G35</f>
        <v>0</v>
      </c>
      <c r="H37" s="145" t="e">
        <f>SUM('Balance Sheet - Stakeholder 5'!$D$17:$D$22,'Balance Sheet - Stakeholder 5'!$D$26:$D$27,'Balance Sheet - Stakeholder 5'!$D$31:$D$34)</f>
        <v>#DIV/0!</v>
      </c>
    </row>
    <row r="38" spans="1:15" ht="14.7" thickTop="1">
      <c r="A38" s="115"/>
      <c r="B38" s="115"/>
      <c r="C38" s="125"/>
      <c r="D38" s="115"/>
      <c r="E38" s="125"/>
      <c r="F38" s="115"/>
      <c r="G38" s="125"/>
      <c r="H38" s="115"/>
    </row>
    <row r="39" spans="1:15" ht="15.7">
      <c r="A39" s="115"/>
      <c r="B39" s="121" t="s">
        <v>320</v>
      </c>
      <c r="C39" s="127">
        <f>C37-C65</f>
        <v>0</v>
      </c>
      <c r="D39" s="122" t="str">
        <f>IF($C$40=0,"-",C39/$C$40)</f>
        <v>-</v>
      </c>
      <c r="E39" s="127">
        <f t="shared" ref="E39" si="8">E37-E65</f>
        <v>0</v>
      </c>
      <c r="F39" s="122" t="str">
        <f t="shared" ref="F39:F40" si="9">IF($C$40=0,"-",E39/$C$40)</f>
        <v>-</v>
      </c>
      <c r="G39" s="127">
        <f t="shared" ref="G39" si="10">G37-G65</f>
        <v>0</v>
      </c>
      <c r="H39" s="122" t="str">
        <f t="shared" ref="H39:H40" si="11">IF($C$40=0,"-",G39/$C$40)</f>
        <v>-</v>
      </c>
    </row>
    <row r="40" spans="1:15" ht="15.7">
      <c r="A40" s="115"/>
      <c r="B40" s="121" t="s">
        <v>211</v>
      </c>
      <c r="C40" s="127">
        <f>C65+C39</f>
        <v>0</v>
      </c>
      <c r="D40" s="122" t="str">
        <f>IF($C$40=0,"-",C40/$C$40)</f>
        <v>-</v>
      </c>
      <c r="E40" s="127">
        <f t="shared" ref="E40" si="12">E65+E39</f>
        <v>0</v>
      </c>
      <c r="F40" s="122" t="str">
        <f t="shared" si="9"/>
        <v>-</v>
      </c>
      <c r="G40" s="127">
        <f t="shared" ref="G40" si="13">G65+G39</f>
        <v>0</v>
      </c>
      <c r="H40" s="122" t="str">
        <f t="shared" si="11"/>
        <v>-</v>
      </c>
    </row>
    <row r="41" spans="1:15">
      <c r="E41" s="24"/>
    </row>
    <row r="42" spans="1:15">
      <c r="E42" s="24"/>
    </row>
    <row r="43" spans="1:15" ht="17" thickBot="1">
      <c r="B43" s="118" t="s">
        <v>181</v>
      </c>
      <c r="C43" s="128"/>
      <c r="D43" s="119" t="s">
        <v>180</v>
      </c>
      <c r="E43" s="128"/>
      <c r="F43" s="119" t="s">
        <v>180</v>
      </c>
      <c r="G43" s="128"/>
      <c r="H43" s="119" t="s">
        <v>180</v>
      </c>
    </row>
    <row r="44" spans="1:15" ht="14.7" thickTop="1">
      <c r="B44" s="115"/>
      <c r="C44" s="125"/>
      <c r="D44" s="115"/>
      <c r="E44" s="125"/>
      <c r="F44" s="115"/>
      <c r="G44" s="125"/>
      <c r="H44" s="115"/>
      <c r="M44" s="24"/>
      <c r="N44" s="24"/>
      <c r="O44" s="24"/>
    </row>
    <row r="45" spans="1:15" ht="14.7" thickBot="1">
      <c r="B45" s="132" t="s">
        <v>60</v>
      </c>
      <c r="C45" s="199"/>
      <c r="D45" s="134"/>
      <c r="E45" s="199"/>
      <c r="F45" s="134"/>
      <c r="G45" s="199"/>
      <c r="H45" s="134"/>
      <c r="M45" s="24"/>
      <c r="N45" s="24"/>
      <c r="O45" s="24"/>
    </row>
    <row r="46" spans="1:15">
      <c r="B46" s="148" t="s">
        <v>313</v>
      </c>
      <c r="C46" s="554"/>
      <c r="D46" s="138"/>
      <c r="E46" s="554"/>
      <c r="F46" s="138"/>
      <c r="G46" s="554"/>
      <c r="H46" s="138"/>
      <c r="M46" s="24"/>
      <c r="N46" s="24"/>
      <c r="O46" s="24"/>
    </row>
    <row r="47" spans="1:15">
      <c r="B47" s="148" t="s">
        <v>314</v>
      </c>
      <c r="C47" s="554"/>
      <c r="D47" s="138"/>
      <c r="E47" s="554"/>
      <c r="F47" s="138"/>
      <c r="G47" s="554"/>
      <c r="H47" s="138"/>
      <c r="M47" s="24"/>
      <c r="N47" s="24"/>
      <c r="O47" s="24"/>
    </row>
    <row r="48" spans="1:15" ht="14.7" thickBot="1">
      <c r="B48" s="148" t="s">
        <v>315</v>
      </c>
      <c r="C48" s="554"/>
      <c r="D48" s="138"/>
      <c r="E48" s="554"/>
      <c r="F48" s="138"/>
      <c r="G48" s="554"/>
      <c r="H48" s="138"/>
      <c r="M48" s="24"/>
      <c r="N48" s="24"/>
      <c r="O48" s="24"/>
    </row>
    <row r="49" spans="2:15">
      <c r="B49" s="139" t="s">
        <v>319</v>
      </c>
      <c r="C49" s="140"/>
      <c r="D49" s="123"/>
      <c r="E49" s="140">
        <f>SUM(E46:E48)</f>
        <v>0</v>
      </c>
      <c r="F49" s="123"/>
      <c r="G49" s="140">
        <f>SUM(G46:G48)</f>
        <v>0</v>
      </c>
      <c r="H49" s="123"/>
      <c r="M49" s="24"/>
      <c r="N49" s="24"/>
      <c r="O49" s="24"/>
    </row>
    <row r="50" spans="2:15">
      <c r="B50" s="115"/>
      <c r="C50" s="125"/>
      <c r="D50" s="115"/>
      <c r="E50" s="125"/>
      <c r="F50" s="115"/>
      <c r="G50" s="125"/>
      <c r="H50" s="115"/>
    </row>
    <row r="51" spans="2:15" ht="14.7" thickBot="1">
      <c r="B51" s="132" t="s">
        <v>185</v>
      </c>
      <c r="C51" s="133" t="s">
        <v>183</v>
      </c>
      <c r="D51" s="134" t="s">
        <v>184</v>
      </c>
      <c r="E51" s="133" t="s">
        <v>183</v>
      </c>
      <c r="F51" s="134" t="s">
        <v>184</v>
      </c>
      <c r="G51" s="133" t="s">
        <v>183</v>
      </c>
      <c r="H51" s="134" t="s">
        <v>184</v>
      </c>
    </row>
    <row r="52" spans="2:15">
      <c r="B52" s="148" t="s">
        <v>187</v>
      </c>
      <c r="C52" s="551"/>
      <c r="D52" s="138" t="str">
        <f>IFERROR('Balance Sheet - Stakeholder 5'!$C52/E,"-")</f>
        <v>-</v>
      </c>
      <c r="E52" s="551"/>
      <c r="F52" s="138" t="str">
        <f>IFERROR('Balance Sheet - Stakeholder 5'!$C52/E,"-")</f>
        <v>-</v>
      </c>
      <c r="G52" s="551"/>
      <c r="H52" s="138" t="str">
        <f>IFERROR('Balance Sheet - Stakeholder 5'!$C52/E,"-")</f>
        <v>-</v>
      </c>
    </row>
    <row r="53" spans="2:15">
      <c r="B53" s="148" t="s">
        <v>189</v>
      </c>
      <c r="C53" s="552"/>
      <c r="D53" s="138" t="str">
        <f>IFERROR('Balance Sheet - Stakeholder 5'!$C53/E,"-")</f>
        <v>-</v>
      </c>
      <c r="E53" s="552"/>
      <c r="F53" s="138" t="str">
        <f>IFERROR('Balance Sheet - Stakeholder 5'!$C53/E,"-")</f>
        <v>-</v>
      </c>
      <c r="G53" s="552"/>
      <c r="H53" s="138" t="str">
        <f>IFERROR('Balance Sheet - Stakeholder 5'!$C53/E,"-")</f>
        <v>-</v>
      </c>
    </row>
    <row r="54" spans="2:15">
      <c r="B54" s="148" t="s">
        <v>191</v>
      </c>
      <c r="C54" s="552"/>
      <c r="D54" s="138" t="str">
        <f>IFERROR('Balance Sheet - Stakeholder 5'!$C54/E,"-")</f>
        <v>-</v>
      </c>
      <c r="E54" s="552"/>
      <c r="F54" s="138" t="str">
        <f>IFERROR('Balance Sheet - Stakeholder 5'!$C54/E,"-")</f>
        <v>-</v>
      </c>
      <c r="G54" s="552"/>
      <c r="H54" s="138" t="str">
        <f>IFERROR('Balance Sheet - Stakeholder 5'!$C54/E,"-")</f>
        <v>-</v>
      </c>
    </row>
    <row r="55" spans="2:15" ht="14.7" thickBot="1">
      <c r="B55" s="148" t="s">
        <v>193</v>
      </c>
      <c r="C55" s="553"/>
      <c r="D55" s="138" t="str">
        <f>IFERROR('Balance Sheet - Stakeholder 5'!$C55/E,"-")</f>
        <v>-</v>
      </c>
      <c r="E55" s="553"/>
      <c r="F55" s="138" t="str">
        <f>IFERROR('Balance Sheet - Stakeholder 5'!$C55/E,"-")</f>
        <v>-</v>
      </c>
      <c r="G55" s="553"/>
      <c r="H55" s="138" t="str">
        <f>IFERROR('Balance Sheet - Stakeholder 5'!$C55/E,"-")</f>
        <v>-</v>
      </c>
    </row>
    <row r="56" spans="2:15">
      <c r="B56" s="139" t="s">
        <v>195</v>
      </c>
      <c r="C56" s="140">
        <f>SUBTOTAL(109,'Balance Sheet - Stakeholder 5'!$C$52:$C$55)</f>
        <v>0</v>
      </c>
      <c r="D56" s="123">
        <f>SUBTOTAL(109,'Balance Sheet - Stakeholder 5'!$D$52:$D$55)</f>
        <v>0</v>
      </c>
      <c r="E56" s="140">
        <f>SUBTOTAL(109,'Balance Sheet - Stakeholder 5'!$E$52:$E$55)</f>
        <v>0</v>
      </c>
      <c r="F56" s="123">
        <f>SUBTOTAL(109,'Balance Sheet - Stakeholder 5'!$D$52:$D$55)</f>
        <v>0</v>
      </c>
      <c r="G56" s="140">
        <f>SUBTOTAL(109,'Balance Sheet - Stakeholder 5'!$G$52:$G$55)</f>
        <v>0</v>
      </c>
      <c r="H56" s="123">
        <f>SUBTOTAL(109,'Balance Sheet - Stakeholder 5'!$D$52:$D$55)</f>
        <v>0</v>
      </c>
    </row>
    <row r="57" spans="2:15">
      <c r="B57" s="115"/>
      <c r="C57" s="125"/>
      <c r="D57" s="115"/>
      <c r="E57" s="125"/>
      <c r="F57" s="115"/>
      <c r="G57" s="125"/>
      <c r="H57" s="115"/>
    </row>
    <row r="58" spans="2:15" ht="14.7" thickBot="1">
      <c r="B58" s="132" t="s">
        <v>199</v>
      </c>
      <c r="C58" s="133" t="s">
        <v>183</v>
      </c>
      <c r="D58" s="134" t="s">
        <v>184</v>
      </c>
      <c r="E58" s="133" t="s">
        <v>183</v>
      </c>
      <c r="F58" s="134" t="s">
        <v>184</v>
      </c>
      <c r="G58" s="133" t="s">
        <v>183</v>
      </c>
      <c r="H58" s="134" t="s">
        <v>184</v>
      </c>
    </row>
    <row r="59" spans="2:15">
      <c r="B59" s="148" t="s">
        <v>201</v>
      </c>
      <c r="C59" s="551"/>
      <c r="D59" s="138" t="str">
        <f>IFERROR('Balance Sheet - Stakeholder 5'!$C59/E,"-")</f>
        <v>-</v>
      </c>
      <c r="E59" s="551"/>
      <c r="F59" s="138" t="str">
        <f>IFERROR('Balance Sheet - Stakeholder 5'!$C59/E,"-")</f>
        <v>-</v>
      </c>
      <c r="G59" s="551"/>
      <c r="H59" s="138" t="str">
        <f>IFERROR('Balance Sheet - Stakeholder 5'!$C59/E,"-")</f>
        <v>-</v>
      </c>
    </row>
    <row r="60" spans="2:15">
      <c r="B60" s="148" t="s">
        <v>203</v>
      </c>
      <c r="C60" s="552"/>
      <c r="D60" s="138" t="str">
        <f>IFERROR('Balance Sheet - Stakeholder 5'!$C60/E,"-")</f>
        <v>-</v>
      </c>
      <c r="E60" s="552"/>
      <c r="F60" s="138" t="str">
        <f>IFERROR('Balance Sheet - Stakeholder 5'!$C60/E,"-")</f>
        <v>-</v>
      </c>
      <c r="G60" s="552"/>
      <c r="H60" s="138" t="str">
        <f>IFERROR('Balance Sheet - Stakeholder 5'!$C60/E,"-")</f>
        <v>-</v>
      </c>
    </row>
    <row r="61" spans="2:15">
      <c r="B61" s="148" t="s">
        <v>194</v>
      </c>
      <c r="C61" s="552"/>
      <c r="D61" s="138" t="str">
        <f>IFERROR('Balance Sheet - Stakeholder 5'!$C61/E,"-")</f>
        <v>-</v>
      </c>
      <c r="E61" s="552"/>
      <c r="F61" s="138" t="str">
        <f>IFERROR('Balance Sheet - Stakeholder 5'!$C61/E,"-")</f>
        <v>-</v>
      </c>
      <c r="G61" s="552"/>
      <c r="H61" s="138" t="str">
        <f>IFERROR('Balance Sheet - Stakeholder 5'!$C61/E,"-")</f>
        <v>-</v>
      </c>
    </row>
    <row r="62" spans="2:15" ht="14.7" thickBot="1">
      <c r="B62" s="148" t="s">
        <v>204</v>
      </c>
      <c r="C62" s="553"/>
      <c r="D62" s="138" t="str">
        <f>IFERROR('Balance Sheet - Stakeholder 5'!$C62/E,"-")</f>
        <v>-</v>
      </c>
      <c r="E62" s="553"/>
      <c r="F62" s="138" t="str">
        <f>IFERROR('Balance Sheet - Stakeholder 5'!$C62/E,"-")</f>
        <v>-</v>
      </c>
      <c r="G62" s="553"/>
      <c r="H62" s="138" t="str">
        <f>IFERROR('Balance Sheet - Stakeholder 5'!$C62/E,"-")</f>
        <v>-</v>
      </c>
    </row>
    <row r="63" spans="2:15">
      <c r="B63" s="139" t="s">
        <v>4</v>
      </c>
      <c r="C63" s="140">
        <f>SUM('Balance Sheet - Stakeholder 5'!$C$59:$C$62)</f>
        <v>0</v>
      </c>
      <c r="D63" s="123">
        <f>SUBTOTAL(109,'Balance Sheet - Stakeholder 5'!$D$59:$D$62)</f>
        <v>0</v>
      </c>
      <c r="E63" s="140">
        <f>SUM('Balance Sheet - Stakeholder 5'!$E$59:$E$62)</f>
        <v>0</v>
      </c>
      <c r="F63" s="123">
        <f>SUBTOTAL(109,'Balance Sheet - Stakeholder 5'!$D$59:$D$62)</f>
        <v>0</v>
      </c>
      <c r="G63" s="140">
        <f>SUM('Balance Sheet - Stakeholder 5'!$G$59:$G$62)</f>
        <v>0</v>
      </c>
      <c r="H63" s="123">
        <f>SUBTOTAL(109,'Balance Sheet - Stakeholder 5'!$D$59:$D$62)</f>
        <v>0</v>
      </c>
    </row>
    <row r="64" spans="2:15">
      <c r="B64" s="120"/>
      <c r="C64" s="120"/>
      <c r="D64" s="120"/>
      <c r="E64" s="120"/>
      <c r="F64" s="120"/>
      <c r="G64" s="120"/>
      <c r="H64" s="120"/>
    </row>
    <row r="65" spans="2:8" ht="16" thickBot="1">
      <c r="B65" s="143" t="s">
        <v>245</v>
      </c>
      <c r="C65" s="144">
        <f>C49+C56+C63</f>
        <v>0</v>
      </c>
      <c r="D65" s="145" t="str">
        <f>IFERROR(C65/E,"-")</f>
        <v>-</v>
      </c>
      <c r="E65" s="144">
        <f>E49+E56+E63</f>
        <v>0</v>
      </c>
      <c r="F65" s="145" t="str">
        <f>IFERROR(E65/E,"-")</f>
        <v>-</v>
      </c>
      <c r="G65" s="144">
        <f>G49+G56+G63</f>
        <v>0</v>
      </c>
      <c r="H65" s="145" t="str">
        <f>IFERROR(G65/E,"-")</f>
        <v>-</v>
      </c>
    </row>
    <row r="66" spans="2:8" ht="14.7" thickTop="1"/>
    <row r="67" spans="2:8" hidden="1">
      <c r="B67" t="s">
        <v>251</v>
      </c>
      <c r="C67" s="152">
        <f>'Pre-conditions'!B9+Financing!B3*'Pre-conditions'!B8</f>
        <v>0.105</v>
      </c>
    </row>
    <row r="68" spans="2:8" hidden="1">
      <c r="B68" t="s">
        <v>252</v>
      </c>
      <c r="C68" s="152">
        <f>('Pre-conditions'!B9+'Pre-conditions'!B11)*(1-'Pre-conditions'!B12)</f>
        <v>6.9999999999999993E-2</v>
      </c>
    </row>
    <row r="69" spans="2:8" ht="14.7" thickBot="1">
      <c r="B69" s="159" t="s">
        <v>129</v>
      </c>
      <c r="C69" s="160" t="e">
        <f>(D39*$C67)+(D40-D39)*$C68</f>
        <v>#VALUE!</v>
      </c>
      <c r="D69" s="159"/>
      <c r="E69" s="160" t="e">
        <f>(F39*$C67)+(F40-F39)*$C68</f>
        <v>#VALUE!</v>
      </c>
      <c r="F69" s="159"/>
      <c r="G69" s="160" t="e">
        <f>(H39*$C67)+(H40-H39)*$C68</f>
        <v>#VALUE!</v>
      </c>
      <c r="H69" s="159"/>
    </row>
  </sheetData>
  <sheetProtection algorithmName="SHA-512" hashValue="H7w9p9zGyKnypqQzkVQdAAwlrTpeIKkIslNuZV8f+vfbl9q7h8A3vjr4LUg9CCsFJkIQPZ3qxXDfkXA+tegM+A==" saltValue="AX+XxQqPOoRovYaXUQEI9Q==" spinCount="100000" sheet="1" objects="1" scenarios="1"/>
  <mergeCells count="1">
    <mergeCell ref="A1:D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249977111117893"/>
    <pageSetUpPr fitToPage="1"/>
  </sheetPr>
  <dimension ref="A1:AC44"/>
  <sheetViews>
    <sheetView zoomScale="84" zoomScaleNormal="84" workbookViewId="0">
      <pane xSplit="18" topLeftCell="U1" activePane="topRight" state="frozen"/>
      <selection pane="topRight" activeCell="C44" sqref="C44"/>
    </sheetView>
  </sheetViews>
  <sheetFormatPr defaultRowHeight="14.35"/>
  <cols>
    <col min="1" max="1" width="6.5859375" customWidth="1"/>
    <col min="2" max="2" width="46.703125" customWidth="1"/>
    <col min="3" max="3" width="16.41015625" style="24" customWidth="1"/>
    <col min="4" max="4" width="16.41015625" style="152" customWidth="1"/>
    <col min="5" max="8" width="16.41015625" customWidth="1"/>
    <col min="9" max="9" width="2.703125" customWidth="1"/>
    <col min="15" max="15" width="7.87890625" customWidth="1"/>
    <col min="19" max="19" width="5.87890625" customWidth="1"/>
    <col min="20" max="20" width="29.87890625" customWidth="1"/>
    <col min="27" max="29" width="15.29296875" hidden="1" customWidth="1"/>
  </cols>
  <sheetData>
    <row r="1" spans="1:29" ht="19.7" thickBot="1">
      <c r="A1" s="570"/>
      <c r="B1" s="570"/>
      <c r="C1" s="570"/>
      <c r="D1" s="570"/>
    </row>
    <row r="2" spans="1:29" ht="15" thickTop="1" thickBot="1">
      <c r="A2" s="570" t="s">
        <v>216</v>
      </c>
      <c r="B2" s="570"/>
      <c r="C2" s="570"/>
      <c r="D2" s="570"/>
      <c r="E2" s="161" t="s">
        <v>257</v>
      </c>
      <c r="F2" s="579" t="str">
        <f>'Balance Sheet - Stakeholder 1'!F1</f>
        <v>REN-Power Plc</v>
      </c>
      <c r="G2" s="579"/>
      <c r="H2" s="579"/>
    </row>
    <row r="3" spans="1:29" ht="15" thickTop="1" thickBot="1">
      <c r="A3" s="570"/>
      <c r="B3" s="570"/>
      <c r="C3" s="570"/>
      <c r="D3" s="570"/>
      <c r="E3" s="115"/>
      <c r="G3" s="125"/>
      <c r="H3" s="115"/>
      <c r="AA3" t="s">
        <v>311</v>
      </c>
      <c r="AB3">
        <v>61.4405</v>
      </c>
      <c r="AC3" t="s">
        <v>310</v>
      </c>
    </row>
    <row r="4" spans="1:29" ht="16" thickTop="1">
      <c r="A4" s="115"/>
      <c r="B4" s="116" t="s">
        <v>214</v>
      </c>
      <c r="C4" s="571">
        <f>'Pre-conditions'!B4-2</f>
        <v>2013</v>
      </c>
      <c r="D4" s="571"/>
      <c r="E4" s="572">
        <f>'Pre-conditions'!B4-3</f>
        <v>2012</v>
      </c>
      <c r="F4" s="572"/>
      <c r="G4" s="572">
        <f>'Pre-conditions'!B4-4</f>
        <v>2011</v>
      </c>
      <c r="H4" s="572"/>
      <c r="AA4">
        <v>2009</v>
      </c>
      <c r="AB4">
        <v>2008</v>
      </c>
      <c r="AC4">
        <v>2007</v>
      </c>
    </row>
    <row r="6" spans="1:29">
      <c r="C6" s="24" t="s">
        <v>212</v>
      </c>
      <c r="D6" s="152" t="s">
        <v>242</v>
      </c>
      <c r="E6" s="24" t="s">
        <v>212</v>
      </c>
      <c r="F6" s="152" t="s">
        <v>242</v>
      </c>
      <c r="G6" s="24" t="s">
        <v>212</v>
      </c>
      <c r="H6" s="152" t="s">
        <v>242</v>
      </c>
    </row>
    <row r="7" spans="1:29">
      <c r="A7" s="149" t="s">
        <v>217</v>
      </c>
      <c r="B7" s="147"/>
      <c r="C7" s="150"/>
      <c r="E7" s="150"/>
      <c r="F7" s="152"/>
      <c r="G7" s="150"/>
      <c r="H7" s="152"/>
    </row>
    <row r="8" spans="1:29">
      <c r="A8" s="147"/>
      <c r="B8" s="147" t="s">
        <v>218</v>
      </c>
      <c r="C8" s="555">
        <f>AA8/AB$3/1000</f>
        <v>1654.3983203261691</v>
      </c>
      <c r="E8" s="555">
        <f>AB8/AB$3/1000</f>
        <v>1464.8317477885107</v>
      </c>
      <c r="F8" s="152"/>
      <c r="G8" s="555">
        <f>AC8/AB$3/1000</f>
        <v>878.89909750083416</v>
      </c>
      <c r="H8" s="152"/>
      <c r="AA8" s="24">
        <v>101647060</v>
      </c>
      <c r="AB8" s="24">
        <v>89999995</v>
      </c>
      <c r="AC8" s="24">
        <v>54000000</v>
      </c>
    </row>
    <row r="9" spans="1:29">
      <c r="A9" s="147"/>
      <c r="B9" s="147" t="s">
        <v>219</v>
      </c>
      <c r="C9" s="555">
        <f t="shared" ref="C9:C11" si="0">AA9/AB$3/1000</f>
        <v>0</v>
      </c>
      <c r="E9" s="555">
        <f t="shared" ref="E9:E11" si="1">AB9/AB$3/1000</f>
        <v>0</v>
      </c>
      <c r="F9" s="152"/>
      <c r="G9" s="555">
        <f t="shared" ref="G9:G11" si="2">AC9/AB$3/1000</f>
        <v>0</v>
      </c>
      <c r="H9" s="152"/>
      <c r="AA9" s="24">
        <v>0</v>
      </c>
      <c r="AB9" s="24">
        <v>0</v>
      </c>
      <c r="AC9" s="24">
        <v>0</v>
      </c>
    </row>
    <row r="10" spans="1:29">
      <c r="A10" s="147"/>
      <c r="B10" s="147" t="s">
        <v>232</v>
      </c>
      <c r="C10" s="555">
        <f t="shared" si="0"/>
        <v>30.786517036807968</v>
      </c>
      <c r="E10" s="555">
        <f t="shared" si="1"/>
        <v>1140.8521903304822</v>
      </c>
      <c r="F10" s="152"/>
      <c r="G10" s="555">
        <f t="shared" si="2"/>
        <v>233.65408810149657</v>
      </c>
      <c r="H10" s="152"/>
      <c r="AA10" s="24">
        <v>1891539</v>
      </c>
      <c r="AB10" s="24">
        <v>70094529</v>
      </c>
      <c r="AC10" s="24">
        <v>14355824</v>
      </c>
    </row>
    <row r="11" spans="1:29">
      <c r="A11" s="147"/>
      <c r="B11" s="147" t="s">
        <v>232</v>
      </c>
      <c r="C11" s="555">
        <f t="shared" si="0"/>
        <v>0</v>
      </c>
      <c r="E11" s="555">
        <f t="shared" si="1"/>
        <v>0</v>
      </c>
      <c r="F11" s="152"/>
      <c r="G11" s="555">
        <f t="shared" si="2"/>
        <v>0</v>
      </c>
      <c r="H11" s="152"/>
      <c r="T11" t="s">
        <v>247</v>
      </c>
      <c r="AA11" s="24">
        <v>0</v>
      </c>
      <c r="AB11" s="24">
        <v>0</v>
      </c>
      <c r="AC11" s="24">
        <v>0</v>
      </c>
    </row>
    <row r="12" spans="1:29">
      <c r="A12" s="147"/>
      <c r="B12" s="149" t="s">
        <v>220</v>
      </c>
      <c r="C12" s="151">
        <f>SUM(C8:C11)</f>
        <v>1685.1848373629771</v>
      </c>
      <c r="E12" s="151">
        <f t="shared" ref="E12" si="3">SUM(E8:E11)</f>
        <v>2605.683938118993</v>
      </c>
      <c r="F12" s="152"/>
      <c r="G12" s="151">
        <f t="shared" ref="G12" si="4">SUM(G8:G11)</f>
        <v>1112.5531856023308</v>
      </c>
      <c r="H12" s="152"/>
      <c r="U12" s="154">
        <f>G4</f>
        <v>2011</v>
      </c>
      <c r="V12" s="154">
        <f>E4</f>
        <v>2012</v>
      </c>
      <c r="W12" s="154">
        <f>C4</f>
        <v>2013</v>
      </c>
      <c r="AA12" s="24"/>
      <c r="AB12" s="24"/>
      <c r="AC12" s="24"/>
    </row>
    <row r="13" spans="1:29">
      <c r="E13" s="24"/>
      <c r="F13" s="152"/>
      <c r="G13" s="24"/>
      <c r="H13" s="152"/>
      <c r="T13" t="str">
        <f>A21</f>
        <v>Gross Profit</v>
      </c>
      <c r="U13" s="157">
        <f>H21</f>
        <v>1</v>
      </c>
      <c r="V13" s="157">
        <f>F21</f>
        <v>1</v>
      </c>
      <c r="W13" s="157">
        <f>D21</f>
        <v>1</v>
      </c>
      <c r="AA13" s="24"/>
      <c r="AB13" s="24"/>
      <c r="AC13" s="24"/>
    </row>
    <row r="14" spans="1:29">
      <c r="A14" s="149" t="s">
        <v>221</v>
      </c>
      <c r="B14" s="147"/>
      <c r="C14" s="150"/>
      <c r="E14" s="150"/>
      <c r="F14" s="152"/>
      <c r="G14" s="150"/>
      <c r="H14" s="152"/>
      <c r="T14" t="str">
        <f>A33</f>
        <v>Operating profit / EBIDA</v>
      </c>
      <c r="U14" s="157">
        <f>H33</f>
        <v>0.81513913137818372</v>
      </c>
      <c r="V14" s="157">
        <f>F33</f>
        <v>0.92052131651923341</v>
      </c>
      <c r="W14" s="157">
        <f>D33</f>
        <v>0.79729761458333048</v>
      </c>
      <c r="AA14" s="24"/>
      <c r="AB14" s="24"/>
      <c r="AC14" s="24"/>
    </row>
    <row r="15" spans="1:29">
      <c r="A15" s="147"/>
      <c r="B15" s="147" t="s">
        <v>234</v>
      </c>
      <c r="C15" s="555">
        <f t="shared" ref="C15:C19" si="5">AA15/AB$3/1000</f>
        <v>0</v>
      </c>
      <c r="E15" s="555">
        <f t="shared" ref="E15:E19" si="6">AB15/AB$3/1000</f>
        <v>0</v>
      </c>
      <c r="F15" s="152"/>
      <c r="G15" s="555">
        <f t="shared" ref="G15:G19" si="7">AC15/AB$3/1000</f>
        <v>0</v>
      </c>
      <c r="H15" s="152"/>
      <c r="T15" t="str">
        <f>A37</f>
        <v>Earnings before tax / EBIT / PBIT</v>
      </c>
      <c r="U15" s="157">
        <f>H37</f>
        <v>0.80245362853061364</v>
      </c>
      <c r="V15" s="157">
        <f>F37</f>
        <v>0.91483703090306823</v>
      </c>
      <c r="W15" s="157">
        <f>D37</f>
        <v>0.77328846220915171</v>
      </c>
      <c r="AA15" s="24">
        <v>0</v>
      </c>
      <c r="AB15" s="24">
        <v>0</v>
      </c>
      <c r="AC15" s="24">
        <v>0</v>
      </c>
    </row>
    <row r="16" spans="1:29">
      <c r="A16" s="147"/>
      <c r="B16" s="147" t="s">
        <v>226</v>
      </c>
      <c r="C16" s="555">
        <f t="shared" si="5"/>
        <v>0</v>
      </c>
      <c r="E16" s="555">
        <f t="shared" si="6"/>
        <v>0</v>
      </c>
      <c r="F16" s="152"/>
      <c r="G16" s="555">
        <f t="shared" si="7"/>
        <v>0</v>
      </c>
      <c r="H16" s="152"/>
      <c r="T16" t="str">
        <f>B41</f>
        <v>Financial Expenses</v>
      </c>
      <c r="U16" s="157">
        <f>H41</f>
        <v>8.4353456115165825E-3</v>
      </c>
      <c r="V16" s="157">
        <f>F41</f>
        <v>5.6601917252335258E-2</v>
      </c>
      <c r="W16" s="157">
        <f>D41</f>
        <v>8.2045334609945814E-2</v>
      </c>
      <c r="AA16" s="24">
        <v>0</v>
      </c>
      <c r="AB16" s="24">
        <v>0</v>
      </c>
      <c r="AC16" s="24">
        <v>0</v>
      </c>
    </row>
    <row r="17" spans="1:29">
      <c r="A17" s="147"/>
      <c r="B17" s="147" t="s">
        <v>227</v>
      </c>
      <c r="C17" s="555">
        <f t="shared" si="5"/>
        <v>0</v>
      </c>
      <c r="E17" s="555">
        <f t="shared" si="6"/>
        <v>0</v>
      </c>
      <c r="F17" s="152"/>
      <c r="G17" s="555">
        <f t="shared" si="7"/>
        <v>0</v>
      </c>
      <c r="H17" s="152"/>
      <c r="T17" t="str">
        <f>A43</f>
        <v>Net income / Net profit</v>
      </c>
      <c r="U17" s="157">
        <f>H43</f>
        <v>0.79401828291909693</v>
      </c>
      <c r="V17" s="157">
        <f>F43</f>
        <v>0.85823511365073313</v>
      </c>
      <c r="W17" s="157">
        <f>D43</f>
        <v>0.69124312759920592</v>
      </c>
      <c r="AA17" s="24">
        <v>0</v>
      </c>
      <c r="AB17" s="24">
        <v>0</v>
      </c>
      <c r="AC17" s="24">
        <v>0</v>
      </c>
    </row>
    <row r="18" spans="1:29">
      <c r="A18" s="147"/>
      <c r="B18" s="147" t="s">
        <v>228</v>
      </c>
      <c r="C18" s="555">
        <f t="shared" si="5"/>
        <v>0</v>
      </c>
      <c r="E18" s="555">
        <f t="shared" si="6"/>
        <v>0</v>
      </c>
      <c r="F18" s="152"/>
      <c r="G18" s="555">
        <f t="shared" si="7"/>
        <v>0</v>
      </c>
      <c r="H18" s="152"/>
      <c r="AA18" s="24">
        <v>0</v>
      </c>
      <c r="AB18" s="24">
        <v>0</v>
      </c>
      <c r="AC18" s="24">
        <v>0</v>
      </c>
    </row>
    <row r="19" spans="1:29">
      <c r="A19" s="147"/>
      <c r="B19" s="147" t="s">
        <v>228</v>
      </c>
      <c r="C19" s="555">
        <f t="shared" si="5"/>
        <v>0</v>
      </c>
      <c r="E19" s="555">
        <f t="shared" si="6"/>
        <v>0</v>
      </c>
      <c r="F19" s="152"/>
      <c r="G19" s="555">
        <f t="shared" si="7"/>
        <v>0</v>
      </c>
      <c r="H19" s="152"/>
      <c r="AA19" s="24">
        <v>0</v>
      </c>
      <c r="AB19" s="24">
        <v>0</v>
      </c>
      <c r="AC19" s="24">
        <v>0</v>
      </c>
    </row>
    <row r="20" spans="1:29">
      <c r="A20" s="147"/>
      <c r="B20" s="149" t="s">
        <v>229</v>
      </c>
      <c r="C20" s="151">
        <f>SUM(C15:C19)</f>
        <v>0</v>
      </c>
      <c r="E20" s="151">
        <f t="shared" ref="E20" si="8">SUM(E15:E19)</f>
        <v>0</v>
      </c>
      <c r="F20" s="152"/>
      <c r="G20" s="151">
        <f t="shared" ref="G20" si="9">SUM(G15:G19)</f>
        <v>0</v>
      </c>
      <c r="H20" s="152"/>
      <c r="AA20" s="24"/>
      <c r="AB20" s="24"/>
      <c r="AC20" s="24"/>
    </row>
    <row r="21" spans="1:29">
      <c r="A21" s="149" t="s">
        <v>235</v>
      </c>
      <c r="B21" s="149"/>
      <c r="C21" s="151">
        <f>C12-C20</f>
        <v>1685.1848373629771</v>
      </c>
      <c r="D21" s="152">
        <f>C21/C12</f>
        <v>1</v>
      </c>
      <c r="E21" s="151">
        <f>E12-E20</f>
        <v>2605.683938118993</v>
      </c>
      <c r="F21" s="152">
        <f t="shared" ref="F21" si="10">E21/E12</f>
        <v>1</v>
      </c>
      <c r="G21" s="151">
        <f t="shared" ref="G21" si="11">G12-G20</f>
        <v>1112.5531856023308</v>
      </c>
      <c r="H21" s="152">
        <f t="shared" ref="H21" si="12">G21/G12</f>
        <v>1</v>
      </c>
      <c r="AA21" s="24"/>
      <c r="AB21" s="24"/>
      <c r="AC21" s="24"/>
    </row>
    <row r="22" spans="1:29">
      <c r="E22" s="24"/>
      <c r="F22" s="152"/>
      <c r="G22" s="24"/>
      <c r="H22" s="152"/>
      <c r="AA22" s="24"/>
      <c r="AB22" s="24"/>
      <c r="AC22" s="24"/>
    </row>
    <row r="23" spans="1:29">
      <c r="A23" s="146" t="s">
        <v>222</v>
      </c>
      <c r="B23" s="147"/>
      <c r="C23" s="150"/>
      <c r="E23" s="150"/>
      <c r="F23" s="152"/>
      <c r="G23" s="150"/>
      <c r="H23" s="152"/>
      <c r="T23" t="s">
        <v>248</v>
      </c>
      <c r="AA23" s="24"/>
      <c r="AB23" s="24"/>
      <c r="AC23" s="24"/>
    </row>
    <row r="24" spans="1:29">
      <c r="A24" s="147"/>
      <c r="B24" s="147" t="s">
        <v>223</v>
      </c>
      <c r="C24" s="555">
        <f t="shared" ref="C24:C30" si="13">AA24/AB$3/1000</f>
        <v>0</v>
      </c>
      <c r="E24" s="555">
        <f t="shared" ref="E24:E30" si="14">AB24/AB$3/1000</f>
        <v>0</v>
      </c>
      <c r="F24" s="152"/>
      <c r="G24" s="555">
        <f t="shared" ref="G24:G30" si="15">AC24/AB$3/1000</f>
        <v>0</v>
      </c>
      <c r="H24" s="152"/>
      <c r="U24" s="156">
        <f>U12</f>
        <v>2011</v>
      </c>
      <c r="V24" s="156">
        <f t="shared" ref="V24:W24" si="16">V12</f>
        <v>2012</v>
      </c>
      <c r="W24" s="156">
        <f t="shared" si="16"/>
        <v>2013</v>
      </c>
      <c r="AA24" s="24">
        <v>0</v>
      </c>
      <c r="AB24" s="24">
        <v>0</v>
      </c>
      <c r="AC24" s="24">
        <v>0</v>
      </c>
    </row>
    <row r="25" spans="1:29">
      <c r="A25" s="147"/>
      <c r="B25" s="147" t="s">
        <v>224</v>
      </c>
      <c r="C25" s="555">
        <f t="shared" si="13"/>
        <v>341.59098640147783</v>
      </c>
      <c r="E25" s="555">
        <f t="shared" si="14"/>
        <v>207.096328968677</v>
      </c>
      <c r="F25" s="152"/>
      <c r="G25" s="555">
        <f t="shared" si="15"/>
        <v>205.66754827841569</v>
      </c>
      <c r="H25" s="152"/>
      <c r="T25" s="156" t="str">
        <f>T13</f>
        <v>Gross Profit</v>
      </c>
      <c r="V25" s="56">
        <f>-(G21-E21)/G21</f>
        <v>1.3420758412626255</v>
      </c>
      <c r="W25" s="56">
        <f>-(E21-C21)/E21</f>
        <v>-0.3532658306289102</v>
      </c>
      <c r="AA25" s="24">
        <v>20987521</v>
      </c>
      <c r="AB25" s="24">
        <v>12724102</v>
      </c>
      <c r="AC25" s="24">
        <v>12636317</v>
      </c>
    </row>
    <row r="26" spans="1:29">
      <c r="A26" s="147"/>
      <c r="B26" s="147" t="s">
        <v>225</v>
      </c>
      <c r="C26" s="555">
        <f t="shared" si="13"/>
        <v>0</v>
      </c>
      <c r="E26" s="555">
        <f t="shared" si="14"/>
        <v>0</v>
      </c>
      <c r="F26" s="152"/>
      <c r="G26" s="555">
        <f t="shared" si="15"/>
        <v>0</v>
      </c>
      <c r="H26" s="152"/>
      <c r="T26" s="156" t="str">
        <f t="shared" ref="T26:T29" si="17">T14</f>
        <v>Operating profit / EBIDA</v>
      </c>
      <c r="V26" s="56">
        <f>-(G33-E33)/G33</f>
        <v>1.6448622741762589</v>
      </c>
      <c r="W26" s="56">
        <f>-(E33-C33)/E33</f>
        <v>-0.43983957649249311</v>
      </c>
      <c r="AA26" s="24">
        <v>0</v>
      </c>
      <c r="AB26" s="24">
        <v>0</v>
      </c>
      <c r="AC26" s="24">
        <v>0</v>
      </c>
    </row>
    <row r="27" spans="1:29">
      <c r="A27" s="147"/>
      <c r="B27" s="147" t="s">
        <v>231</v>
      </c>
      <c r="C27" s="555">
        <f t="shared" si="13"/>
        <v>0</v>
      </c>
      <c r="E27" s="555">
        <f t="shared" si="14"/>
        <v>0</v>
      </c>
      <c r="F27" s="152"/>
      <c r="G27" s="555">
        <f t="shared" si="15"/>
        <v>0</v>
      </c>
      <c r="H27" s="152"/>
      <c r="T27" s="156" t="str">
        <f t="shared" si="17"/>
        <v>Earnings before tax / EBIT / PBIT</v>
      </c>
      <c r="V27" s="56">
        <f>-(G37-E37)/G37</f>
        <v>1.6700828964957011</v>
      </c>
      <c r="W27" s="56">
        <f>-(E37-C37)/E37</f>
        <v>-0.45333206418480393</v>
      </c>
      <c r="AA27" s="24">
        <v>0</v>
      </c>
      <c r="AB27" s="24">
        <v>0</v>
      </c>
      <c r="AC27" s="24">
        <v>0</v>
      </c>
    </row>
    <row r="28" spans="1:29">
      <c r="A28" s="147"/>
      <c r="B28" s="147" t="s">
        <v>233</v>
      </c>
      <c r="C28" s="555">
        <f t="shared" si="13"/>
        <v>0</v>
      </c>
      <c r="E28" s="555">
        <f t="shared" si="14"/>
        <v>0</v>
      </c>
      <c r="F28" s="152"/>
      <c r="G28" s="555">
        <f t="shared" si="15"/>
        <v>0</v>
      </c>
      <c r="H28" s="152"/>
      <c r="T28" s="156" t="str">
        <f t="shared" si="17"/>
        <v>Financial Expenses</v>
      </c>
      <c r="V28" s="56">
        <f>-(G41-E41)/G41</f>
        <v>14.715536632530073</v>
      </c>
      <c r="W28" s="56">
        <f>-(E41-C41)/E41</f>
        <v>-6.2549045941597756E-2</v>
      </c>
      <c r="AA28" s="24">
        <v>0</v>
      </c>
      <c r="AB28" s="24">
        <v>0</v>
      </c>
      <c r="AC28" s="24">
        <v>0</v>
      </c>
    </row>
    <row r="29" spans="1:29">
      <c r="A29" s="147"/>
      <c r="B29" s="147" t="s">
        <v>228</v>
      </c>
      <c r="C29" s="555">
        <f t="shared" si="13"/>
        <v>0</v>
      </c>
      <c r="E29" s="555">
        <f t="shared" si="14"/>
        <v>0</v>
      </c>
      <c r="F29" s="152"/>
      <c r="G29" s="555">
        <f t="shared" si="15"/>
        <v>0</v>
      </c>
      <c r="H29" s="152"/>
      <c r="T29" s="156" t="str">
        <f t="shared" si="17"/>
        <v>Net income / Net profit</v>
      </c>
      <c r="V29" s="56">
        <f>-(G43-E43)/G43</f>
        <v>1.5314930009104983</v>
      </c>
      <c r="W29" s="56">
        <f>(E43-C43)/E43</f>
        <v>0.47910480141077272</v>
      </c>
      <c r="AA29" s="24">
        <v>0</v>
      </c>
      <c r="AB29" s="24">
        <v>0</v>
      </c>
      <c r="AC29" s="24">
        <v>0</v>
      </c>
    </row>
    <row r="30" spans="1:29">
      <c r="A30" s="147"/>
      <c r="B30" s="147" t="s">
        <v>228</v>
      </c>
      <c r="C30" s="555">
        <f t="shared" si="13"/>
        <v>0</v>
      </c>
      <c r="E30" s="555">
        <f t="shared" si="14"/>
        <v>0</v>
      </c>
      <c r="F30" s="152"/>
      <c r="G30" s="555">
        <f t="shared" si="15"/>
        <v>0</v>
      </c>
      <c r="H30" s="152"/>
      <c r="AA30" s="24">
        <v>0</v>
      </c>
      <c r="AB30" s="24">
        <v>0</v>
      </c>
      <c r="AC30" s="24">
        <v>0</v>
      </c>
    </row>
    <row r="31" spans="1:29">
      <c r="A31" s="147"/>
      <c r="B31" s="149" t="s">
        <v>230</v>
      </c>
      <c r="C31" s="151">
        <f>SUM(C24:C30)</f>
        <v>341.59098640147783</v>
      </c>
      <c r="E31" s="151">
        <f t="shared" ref="E31" si="18">SUM(E24:E30)</f>
        <v>207.096328968677</v>
      </c>
      <c r="F31" s="152"/>
      <c r="G31" s="151">
        <f t="shared" ref="G31" si="19">SUM(G24:G30)</f>
        <v>205.66754827841569</v>
      </c>
      <c r="H31" s="152"/>
      <c r="AA31" s="24"/>
      <c r="AB31" s="24"/>
      <c r="AC31" s="24"/>
    </row>
    <row r="32" spans="1:29">
      <c r="E32" s="24"/>
      <c r="F32" s="152"/>
      <c r="G32" s="24"/>
      <c r="H32" s="152"/>
      <c r="V32" s="155"/>
      <c r="AA32" s="24"/>
      <c r="AB32" s="24"/>
      <c r="AC32" s="24"/>
    </row>
    <row r="33" spans="1:29">
      <c r="A33" s="149" t="s">
        <v>246</v>
      </c>
      <c r="B33" s="147"/>
      <c r="C33" s="151">
        <f>C21-C31</f>
        <v>1343.5938509614994</v>
      </c>
      <c r="D33" s="152">
        <f>C33/C12</f>
        <v>0.79729761458333048</v>
      </c>
      <c r="E33" s="151">
        <f t="shared" ref="E33" si="20">E21-E31</f>
        <v>2398.587609150316</v>
      </c>
      <c r="F33" s="152">
        <f t="shared" ref="F33" si="21">E33/E12</f>
        <v>0.92052131651923341</v>
      </c>
      <c r="G33" s="151">
        <f t="shared" ref="G33" si="22">G21-G31</f>
        <v>906.88563732391515</v>
      </c>
      <c r="H33" s="152">
        <f t="shared" ref="H33" si="23">G33/G12</f>
        <v>0.81513913137818372</v>
      </c>
      <c r="V33" s="64"/>
      <c r="W33" s="155"/>
      <c r="AA33" s="24"/>
      <c r="AB33" s="24"/>
      <c r="AC33" s="24"/>
    </row>
    <row r="34" spans="1:29">
      <c r="E34" s="24"/>
      <c r="F34" s="152"/>
      <c r="G34" s="24"/>
      <c r="H34" s="152"/>
      <c r="V34" s="56"/>
      <c r="AA34" s="24"/>
      <c r="AB34" s="24"/>
      <c r="AC34" s="24"/>
    </row>
    <row r="35" spans="1:29">
      <c r="A35" s="147"/>
      <c r="B35" s="147" t="s">
        <v>236</v>
      </c>
      <c r="C35" s="555">
        <f t="shared" ref="C35" si="24">AA35/AB$3/1000</f>
        <v>40.459859538903487</v>
      </c>
      <c r="E35" s="555">
        <f t="shared" ref="E35" si="25">AB35/AB$3/1000</f>
        <v>14.811451729722252</v>
      </c>
      <c r="F35" s="152"/>
      <c r="G35" s="555">
        <f t="shared" ref="G35" si="26">AC35/AB$3/1000</f>
        <v>14.113296604031543</v>
      </c>
      <c r="H35" s="152"/>
      <c r="AA35" s="24">
        <v>2485874</v>
      </c>
      <c r="AB35" s="24">
        <v>910023</v>
      </c>
      <c r="AC35" s="24">
        <v>867128</v>
      </c>
    </row>
    <row r="36" spans="1:29">
      <c r="E36" s="24"/>
      <c r="F36" s="152"/>
      <c r="G36" s="24"/>
      <c r="H36" s="152"/>
      <c r="AA36" s="24"/>
      <c r="AB36" s="24"/>
      <c r="AC36" s="24"/>
    </row>
    <row r="37" spans="1:29">
      <c r="A37" s="149" t="s">
        <v>241</v>
      </c>
      <c r="B37" s="147"/>
      <c r="C37" s="151">
        <f>C33-C35</f>
        <v>1303.133991422596</v>
      </c>
      <c r="D37" s="152">
        <f>C37/C12</f>
        <v>0.77328846220915171</v>
      </c>
      <c r="E37" s="151">
        <f t="shared" ref="E37" si="27">E33-E35</f>
        <v>2383.7761574205938</v>
      </c>
      <c r="F37" s="152">
        <f t="shared" ref="F37" si="28">E37/E12</f>
        <v>0.91483703090306823</v>
      </c>
      <c r="G37" s="151">
        <f t="shared" ref="G37" si="29">G33-G35</f>
        <v>892.77234071988357</v>
      </c>
      <c r="H37" s="152">
        <f t="shared" ref="H37" si="30">G37/G12</f>
        <v>0.80245362853061364</v>
      </c>
      <c r="AA37" s="24"/>
      <c r="AB37" s="24"/>
      <c r="AC37" s="24"/>
    </row>
    <row r="38" spans="1:29">
      <c r="E38" s="24"/>
      <c r="F38" s="152"/>
      <c r="G38" s="24"/>
      <c r="H38" s="152"/>
      <c r="AA38" s="24"/>
      <c r="AB38" s="24"/>
      <c r="AC38" s="24"/>
    </row>
    <row r="39" spans="1:29">
      <c r="A39" s="147"/>
      <c r="B39" s="147" t="s">
        <v>237</v>
      </c>
      <c r="C39" s="555">
        <f t="shared" ref="C39:C40" si="31">AA39/AB$3/1000</f>
        <v>138.26155386105256</v>
      </c>
      <c r="E39" s="555">
        <f t="shared" ref="E39:E40" si="32">AB39/AB$3/1000</f>
        <v>147.48670665115031</v>
      </c>
      <c r="F39" s="152"/>
      <c r="G39" s="555">
        <f t="shared" ref="G39:G40" si="33">AC39/AB$3/1000</f>
        <v>9.3847706317494151</v>
      </c>
      <c r="H39" s="152"/>
      <c r="AA39" s="24">
        <v>8494859</v>
      </c>
      <c r="AB39" s="24">
        <v>9061657</v>
      </c>
      <c r="AC39" s="24">
        <v>576605</v>
      </c>
    </row>
    <row r="40" spans="1:29">
      <c r="A40" s="147"/>
      <c r="B40" s="147" t="s">
        <v>238</v>
      </c>
      <c r="C40" s="555">
        <f t="shared" si="31"/>
        <v>0</v>
      </c>
      <c r="E40" s="555">
        <f t="shared" si="32"/>
        <v>0</v>
      </c>
      <c r="F40" s="152"/>
      <c r="G40" s="555">
        <f t="shared" si="33"/>
        <v>0</v>
      </c>
      <c r="H40" s="152"/>
      <c r="AA40" s="24">
        <v>0</v>
      </c>
      <c r="AB40" s="24">
        <v>0</v>
      </c>
      <c r="AC40" s="24">
        <v>0</v>
      </c>
    </row>
    <row r="41" spans="1:29">
      <c r="A41" s="147"/>
      <c r="B41" s="149" t="s">
        <v>239</v>
      </c>
      <c r="C41" s="151">
        <f>SUM(C39:C40)</f>
        <v>138.26155386105256</v>
      </c>
      <c r="D41" s="152">
        <f>C41/C12</f>
        <v>8.2045334609945814E-2</v>
      </c>
      <c r="E41" s="151">
        <f t="shared" ref="E41" si="34">SUM(E39:E40)</f>
        <v>147.48670665115031</v>
      </c>
      <c r="F41" s="152">
        <f t="shared" ref="F41" si="35">E41/E12</f>
        <v>5.6601917252335258E-2</v>
      </c>
      <c r="G41" s="151">
        <f t="shared" ref="G41" si="36">SUM(G39:G40)</f>
        <v>9.3847706317494151</v>
      </c>
      <c r="H41" s="152">
        <f t="shared" ref="H41" si="37">G41/G12</f>
        <v>8.4353456115165825E-3</v>
      </c>
    </row>
    <row r="42" spans="1:29">
      <c r="E42" s="24"/>
      <c r="F42" s="152"/>
      <c r="G42" s="24"/>
      <c r="H42" s="152"/>
    </row>
    <row r="43" spans="1:29">
      <c r="A43" s="149" t="s">
        <v>240</v>
      </c>
      <c r="B43" s="149"/>
      <c r="C43" s="151">
        <f>C37-C41</f>
        <v>1164.8724375615434</v>
      </c>
      <c r="D43" s="152">
        <f>C43/C12</f>
        <v>0.69124312759920592</v>
      </c>
      <c r="E43" s="151">
        <f t="shared" ref="E43" si="38">E37-E41</f>
        <v>2236.2894507694436</v>
      </c>
      <c r="F43" s="152">
        <f t="shared" ref="F43" si="39">E43/E12</f>
        <v>0.85823511365073313</v>
      </c>
      <c r="G43" s="158">
        <f t="shared" ref="G43" si="40">G37-G41</f>
        <v>883.38757008813411</v>
      </c>
      <c r="H43" s="152">
        <f t="shared" ref="H43" si="41">G43/G12</f>
        <v>0.79401828291909693</v>
      </c>
    </row>
    <row r="44" spans="1:29">
      <c r="A44" s="1"/>
      <c r="B44" s="1"/>
    </row>
  </sheetData>
  <sheetProtection algorithmName="SHA-512" hashValue="AfWgqbzM+5VnQYau8Q19b/KlSIpNz0EXPOvCzgldtxE3W39Ih/XNUUPoch02r8LFMoRflbtEKzLt76RimN2TCA==" saltValue="nFUwAmEDZVxyxoENK4KvtQ==" spinCount="100000" sheet="1" objects="1" scenarios="1"/>
  <mergeCells count="6">
    <mergeCell ref="A1:D1"/>
    <mergeCell ref="A2:D3"/>
    <mergeCell ref="C4:D4"/>
    <mergeCell ref="E4:F4"/>
    <mergeCell ref="G4:H4"/>
    <mergeCell ref="F2:H2"/>
  </mergeCells>
  <conditionalFormatting sqref="H43 F43 D43 H41 F41 D41 H37 F37 D37 D33 F33 H33 H21 F21 D21">
    <cfRule type="cellIs" dxfId="14" priority="1" operator="greaterThanOrEqual">
      <formula>0.025</formula>
    </cfRule>
    <cfRule type="cellIs" dxfId="13" priority="2" operator="between">
      <formula>0</formula>
      <formula>2</formula>
    </cfRule>
    <cfRule type="cellIs" dxfId="12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249977111117893"/>
    <pageSetUpPr fitToPage="1"/>
  </sheetPr>
  <dimension ref="A1:W44"/>
  <sheetViews>
    <sheetView zoomScale="90" zoomScaleNormal="90" workbookViewId="0">
      <selection activeCell="E6" sqref="E6"/>
    </sheetView>
  </sheetViews>
  <sheetFormatPr defaultRowHeight="14.35"/>
  <cols>
    <col min="1" max="1" width="6.5859375" customWidth="1"/>
    <col min="2" max="2" width="46.703125" customWidth="1"/>
    <col min="3" max="3" width="15.87890625" style="24" customWidth="1"/>
    <col min="4" max="4" width="15.87890625" style="152" customWidth="1"/>
    <col min="5" max="8" width="15.87890625" customWidth="1"/>
    <col min="9" max="9" width="2.703125" customWidth="1"/>
    <col min="15" max="15" width="7.87890625" customWidth="1"/>
    <col min="19" max="19" width="5.87890625" customWidth="1"/>
    <col min="20" max="20" width="29.87890625" customWidth="1"/>
  </cols>
  <sheetData>
    <row r="1" spans="1:23" ht="22.5" customHeight="1"/>
    <row r="2" spans="1:23" ht="14.7" thickBot="1">
      <c r="A2" s="570" t="s">
        <v>216</v>
      </c>
      <c r="B2" s="570"/>
      <c r="C2" s="570"/>
      <c r="D2" s="570"/>
      <c r="E2" s="161" t="s">
        <v>257</v>
      </c>
      <c r="F2" s="579" t="str">
        <f>'Balance Sheet - Stakeholder 2'!F1</f>
        <v>India Eco Energy Invest</v>
      </c>
      <c r="G2" s="579"/>
      <c r="H2" s="579"/>
    </row>
    <row r="3" spans="1:23" ht="15" thickTop="1" thickBot="1">
      <c r="A3" s="570"/>
      <c r="B3" s="570"/>
      <c r="C3" s="570"/>
      <c r="D3" s="570"/>
      <c r="E3" s="115"/>
      <c r="G3" s="125"/>
      <c r="H3" s="115"/>
    </row>
    <row r="4" spans="1:23" ht="16" thickTop="1">
      <c r="A4" s="115"/>
      <c r="B4" s="116" t="s">
        <v>214</v>
      </c>
      <c r="C4" s="571">
        <f>'Pre-conditions'!B4-2</f>
        <v>2013</v>
      </c>
      <c r="D4" s="571"/>
      <c r="E4" s="572">
        <f>'Pre-conditions'!B4-3</f>
        <v>2012</v>
      </c>
      <c r="F4" s="572"/>
      <c r="G4" s="572">
        <f>'Pre-conditions'!B4-4</f>
        <v>2011</v>
      </c>
      <c r="H4" s="572"/>
    </row>
    <row r="6" spans="1:23">
      <c r="C6" s="24" t="s">
        <v>212</v>
      </c>
      <c r="D6" s="152" t="s">
        <v>242</v>
      </c>
      <c r="E6" s="24" t="s">
        <v>212</v>
      </c>
      <c r="F6" s="152" t="s">
        <v>242</v>
      </c>
      <c r="G6" s="24" t="s">
        <v>212</v>
      </c>
      <c r="H6" s="152" t="s">
        <v>242</v>
      </c>
    </row>
    <row r="7" spans="1:23">
      <c r="A7" s="149" t="s">
        <v>217</v>
      </c>
      <c r="B7" s="147"/>
      <c r="C7" s="150"/>
      <c r="E7" s="150"/>
      <c r="F7" s="152"/>
      <c r="G7" s="150"/>
      <c r="H7" s="152"/>
    </row>
    <row r="8" spans="1:23">
      <c r="A8" s="147"/>
      <c r="B8" s="147" t="s">
        <v>218</v>
      </c>
      <c r="C8" s="555">
        <f>10%*'Balance Sheet - Stakeholder 2'!C40</f>
        <v>37025</v>
      </c>
      <c r="E8" s="555">
        <f>10%*'Balance Sheet - Stakeholder 2'!E40</f>
        <v>35253.200000000004</v>
      </c>
      <c r="F8" s="152"/>
      <c r="G8" s="555">
        <f>10%*'Balance Sheet - Stakeholder 2'!G40</f>
        <v>31950</v>
      </c>
      <c r="H8" s="152"/>
    </row>
    <row r="9" spans="1:23">
      <c r="A9" s="147"/>
      <c r="B9" s="147" t="s">
        <v>219</v>
      </c>
      <c r="C9" s="555"/>
      <c r="E9" s="555"/>
      <c r="F9" s="152"/>
      <c r="G9" s="555"/>
      <c r="H9" s="152"/>
    </row>
    <row r="10" spans="1:23">
      <c r="A10" s="147"/>
      <c r="B10" s="147" t="s">
        <v>232</v>
      </c>
      <c r="C10" s="555"/>
      <c r="E10" s="555"/>
      <c r="F10" s="152"/>
      <c r="G10" s="555"/>
      <c r="H10" s="152"/>
    </row>
    <row r="11" spans="1:23">
      <c r="A11" s="147"/>
      <c r="B11" s="147" t="s">
        <v>232</v>
      </c>
      <c r="C11" s="555"/>
      <c r="E11" s="555"/>
      <c r="F11" s="152"/>
      <c r="G11" s="555"/>
      <c r="H11" s="152"/>
      <c r="T11" t="s">
        <v>247</v>
      </c>
    </row>
    <row r="12" spans="1:23">
      <c r="A12" s="147"/>
      <c r="B12" s="149" t="s">
        <v>220</v>
      </c>
      <c r="C12" s="151">
        <f>SUM(C8:C11)</f>
        <v>37025</v>
      </c>
      <c r="E12" s="151">
        <f t="shared" ref="E12" si="0">SUM(E8:E11)</f>
        <v>35253.200000000004</v>
      </c>
      <c r="F12" s="152"/>
      <c r="G12" s="151">
        <f t="shared" ref="G12" si="1">SUM(G8:G11)</f>
        <v>31950</v>
      </c>
      <c r="H12" s="152"/>
      <c r="U12" s="154">
        <f>G4</f>
        <v>2011</v>
      </c>
      <c r="V12" s="154">
        <f>E4</f>
        <v>2012</v>
      </c>
      <c r="W12" s="154">
        <f>C4</f>
        <v>2013</v>
      </c>
    </row>
    <row r="13" spans="1:23">
      <c r="E13" s="24"/>
      <c r="F13" s="152"/>
      <c r="G13" s="24"/>
      <c r="H13" s="152"/>
      <c r="T13" t="str">
        <f>A21</f>
        <v>Gross Profit</v>
      </c>
      <c r="U13" s="157">
        <f>H21</f>
        <v>0.68701095461658845</v>
      </c>
      <c r="V13" s="157">
        <f>F21</f>
        <v>0.74470402686848292</v>
      </c>
      <c r="W13" s="157">
        <f>D21</f>
        <v>0.75692099932478052</v>
      </c>
    </row>
    <row r="14" spans="1:23">
      <c r="A14" s="149" t="s">
        <v>221</v>
      </c>
      <c r="B14" s="147"/>
      <c r="C14" s="150"/>
      <c r="E14" s="150"/>
      <c r="F14" s="152"/>
      <c r="G14" s="150"/>
      <c r="H14" s="152"/>
      <c r="T14" t="str">
        <f>A33</f>
        <v>Operating profit / EBIDA</v>
      </c>
      <c r="U14" s="157">
        <f>H33</f>
        <v>0.35837245696400627</v>
      </c>
      <c r="V14" s="157">
        <f>F33</f>
        <v>0.39012628640804248</v>
      </c>
      <c r="W14" s="157">
        <f>D33</f>
        <v>0.37879810938555031</v>
      </c>
    </row>
    <row r="15" spans="1:23">
      <c r="A15" s="147"/>
      <c r="B15" s="147" t="s">
        <v>234</v>
      </c>
      <c r="C15" s="555">
        <v>6000</v>
      </c>
      <c r="E15" s="555">
        <v>6000</v>
      </c>
      <c r="F15" s="152"/>
      <c r="G15" s="555">
        <v>5000</v>
      </c>
      <c r="H15" s="152"/>
      <c r="T15" t="str">
        <f>A37</f>
        <v>Earnings before tax / EBIT / PBIT</v>
      </c>
      <c r="U15" s="157">
        <f>H37</f>
        <v>0.1705790297339593</v>
      </c>
      <c r="V15" s="157">
        <f>F37</f>
        <v>0.1773796421317782</v>
      </c>
      <c r="W15" s="157">
        <f>D37</f>
        <v>0.1762322754895341</v>
      </c>
    </row>
    <row r="16" spans="1:23">
      <c r="A16" s="147"/>
      <c r="B16" s="147" t="s">
        <v>226</v>
      </c>
      <c r="C16" s="555"/>
      <c r="E16" s="555"/>
      <c r="F16" s="152"/>
      <c r="G16" s="555"/>
      <c r="H16" s="152"/>
      <c r="T16" t="str">
        <f>B41</f>
        <v>Financial Expenses</v>
      </c>
      <c r="U16" s="157">
        <f>H41</f>
        <v>7.1987480438184662E-2</v>
      </c>
      <c r="V16" s="157">
        <f>F41</f>
        <v>5.6732438473670467E-2</v>
      </c>
      <c r="W16" s="157">
        <f>D41</f>
        <v>5.401755570560432E-2</v>
      </c>
    </row>
    <row r="17" spans="1:23">
      <c r="A17" s="147"/>
      <c r="B17" s="147" t="s">
        <v>227</v>
      </c>
      <c r="C17" s="555"/>
      <c r="E17" s="555"/>
      <c r="F17" s="152"/>
      <c r="G17" s="555"/>
      <c r="H17" s="152"/>
      <c r="T17" t="str">
        <f>A43</f>
        <v>Net income / Net profit</v>
      </c>
      <c r="U17" s="157">
        <f>H43</f>
        <v>9.8591549295774641E-2</v>
      </c>
      <c r="V17" s="157">
        <f>F43</f>
        <v>0.12064720365810774</v>
      </c>
      <c r="W17" s="157">
        <f>D43</f>
        <v>0.12221471978392978</v>
      </c>
    </row>
    <row r="18" spans="1:23">
      <c r="A18" s="147"/>
      <c r="B18" s="147" t="s">
        <v>228</v>
      </c>
      <c r="C18" s="555">
        <v>3000</v>
      </c>
      <c r="E18" s="555">
        <v>3000</v>
      </c>
      <c r="F18" s="152"/>
      <c r="G18" s="555">
        <v>5000</v>
      </c>
      <c r="H18" s="152"/>
    </row>
    <row r="19" spans="1:23">
      <c r="A19" s="147"/>
      <c r="B19" s="147" t="s">
        <v>228</v>
      </c>
      <c r="C19" s="555"/>
      <c r="E19" s="555"/>
      <c r="F19" s="152"/>
      <c r="G19" s="555"/>
      <c r="H19" s="152"/>
    </row>
    <row r="20" spans="1:23">
      <c r="A20" s="147"/>
      <c r="B20" s="149" t="s">
        <v>229</v>
      </c>
      <c r="C20" s="151">
        <f>SUM(C15:C19)</f>
        <v>9000</v>
      </c>
      <c r="E20" s="151">
        <f t="shared" ref="E20" si="2">SUM(E15:E19)</f>
        <v>9000</v>
      </c>
      <c r="F20" s="152"/>
      <c r="G20" s="151">
        <f t="shared" ref="G20" si="3">SUM(G15:G19)</f>
        <v>10000</v>
      </c>
      <c r="H20" s="152"/>
    </row>
    <row r="21" spans="1:23">
      <c r="A21" s="149" t="s">
        <v>235</v>
      </c>
      <c r="B21" s="149"/>
      <c r="C21" s="151">
        <f>C12-C20</f>
        <v>28025</v>
      </c>
      <c r="D21" s="152">
        <f>C21/C12</f>
        <v>0.75692099932478052</v>
      </c>
      <c r="E21" s="151">
        <f t="shared" ref="E21" si="4">E12-E20</f>
        <v>26253.200000000004</v>
      </c>
      <c r="F21" s="152">
        <f t="shared" ref="F21" si="5">E21/E12</f>
        <v>0.74470402686848292</v>
      </c>
      <c r="G21" s="151">
        <f t="shared" ref="G21" si="6">G12-G20</f>
        <v>21950</v>
      </c>
      <c r="H21" s="152">
        <f t="shared" ref="H21" si="7">G21/G12</f>
        <v>0.68701095461658845</v>
      </c>
    </row>
    <row r="22" spans="1:23">
      <c r="E22" s="24"/>
      <c r="F22" s="152"/>
      <c r="G22" s="24"/>
      <c r="H22" s="152"/>
    </row>
    <row r="23" spans="1:23">
      <c r="A23" s="146" t="s">
        <v>222</v>
      </c>
      <c r="B23" s="147"/>
      <c r="C23" s="150"/>
      <c r="E23" s="150"/>
      <c r="F23" s="152"/>
      <c r="G23" s="150"/>
      <c r="H23" s="152"/>
      <c r="T23" t="s">
        <v>248</v>
      </c>
    </row>
    <row r="24" spans="1:23">
      <c r="A24" s="147"/>
      <c r="B24" s="147" t="s">
        <v>223</v>
      </c>
      <c r="C24" s="555"/>
      <c r="E24" s="555"/>
      <c r="F24" s="152"/>
      <c r="G24" s="555"/>
      <c r="H24" s="152"/>
      <c r="U24" s="156">
        <f>U12</f>
        <v>2011</v>
      </c>
      <c r="V24" s="156">
        <f t="shared" ref="V24:W24" si="8">V12</f>
        <v>2012</v>
      </c>
      <c r="W24" s="156">
        <f t="shared" si="8"/>
        <v>2013</v>
      </c>
    </row>
    <row r="25" spans="1:23">
      <c r="A25" s="147"/>
      <c r="B25" s="147" t="s">
        <v>224</v>
      </c>
      <c r="C25" s="555">
        <v>6000</v>
      </c>
      <c r="E25" s="555">
        <v>6000</v>
      </c>
      <c r="F25" s="152"/>
      <c r="G25" s="555">
        <v>4500</v>
      </c>
      <c r="H25" s="152"/>
      <c r="T25" s="156" t="str">
        <f>T13</f>
        <v>Gross Profit</v>
      </c>
      <c r="V25" s="56">
        <f>-(G21-E21)/G21</f>
        <v>0.19604555808656057</v>
      </c>
      <c r="W25" s="56">
        <f>-(E21-C21)/E21</f>
        <v>6.7488915636950753E-2</v>
      </c>
    </row>
    <row r="26" spans="1:23">
      <c r="A26" s="147"/>
      <c r="B26" s="147" t="s">
        <v>225</v>
      </c>
      <c r="C26" s="555">
        <v>2000</v>
      </c>
      <c r="E26" s="555">
        <v>2000</v>
      </c>
      <c r="F26" s="152"/>
      <c r="G26" s="555">
        <v>2000</v>
      </c>
      <c r="H26" s="152"/>
      <c r="T26" s="156" t="str">
        <f t="shared" ref="T26:T29" si="9">T14</f>
        <v>Operating profit / EBIDA</v>
      </c>
      <c r="V26" s="56">
        <f>-(G33-E33)/G33</f>
        <v>0.20115283842794798</v>
      </c>
      <c r="W26" s="56">
        <f>-(E33-C33)/E33</f>
        <v>1.9762673414186919E-2</v>
      </c>
    </row>
    <row r="27" spans="1:23">
      <c r="A27" s="147"/>
      <c r="B27" s="147" t="s">
        <v>231</v>
      </c>
      <c r="C27" s="555"/>
      <c r="E27" s="555"/>
      <c r="F27" s="152"/>
      <c r="G27" s="555"/>
      <c r="H27" s="152"/>
      <c r="T27" s="156" t="str">
        <f t="shared" si="9"/>
        <v>Earnings before tax / EBIT / PBIT</v>
      </c>
      <c r="V27" s="56">
        <f>-(G37-E37)/G37</f>
        <v>0.14737614678899164</v>
      </c>
      <c r="W27" s="56">
        <f>-(E37-C37)/E37</f>
        <v>4.3465745538283668E-2</v>
      </c>
    </row>
    <row r="28" spans="1:23">
      <c r="A28" s="147"/>
      <c r="B28" s="147" t="s">
        <v>233</v>
      </c>
      <c r="C28" s="555"/>
      <c r="E28" s="555"/>
      <c r="F28" s="152"/>
      <c r="G28" s="555"/>
      <c r="H28" s="152"/>
      <c r="T28" s="156" t="str">
        <f t="shared" si="9"/>
        <v>Financial Expenses</v>
      </c>
      <c r="V28" s="56">
        <f>-(G41-E41)/G41</f>
        <v>-0.13043478260869565</v>
      </c>
      <c r="W28" s="56">
        <f>-(E41-C41)/E41</f>
        <v>0</v>
      </c>
    </row>
    <row r="29" spans="1:23">
      <c r="A29" s="147"/>
      <c r="B29" s="147" t="s">
        <v>228</v>
      </c>
      <c r="C29" s="555">
        <v>6000</v>
      </c>
      <c r="E29" s="555">
        <v>4500</v>
      </c>
      <c r="F29" s="152"/>
      <c r="G29" s="555">
        <v>4000</v>
      </c>
      <c r="H29" s="152"/>
      <c r="T29" s="156" t="str">
        <f t="shared" si="9"/>
        <v>Net income / Net profit</v>
      </c>
      <c r="V29" s="56">
        <f>-(G43-E43)/G43</f>
        <v>0.3502222222222236</v>
      </c>
      <c r="W29" s="56">
        <f>(E43-C43)/E43</f>
        <v>-6.3904824602651025E-2</v>
      </c>
    </row>
    <row r="30" spans="1:23">
      <c r="A30" s="147"/>
      <c r="B30" s="147" t="s">
        <v>228</v>
      </c>
      <c r="C30" s="555"/>
      <c r="E30" s="555"/>
      <c r="F30" s="152"/>
      <c r="G30" s="555"/>
      <c r="H30" s="152"/>
    </row>
    <row r="31" spans="1:23">
      <c r="A31" s="147"/>
      <c r="B31" s="149" t="s">
        <v>230</v>
      </c>
      <c r="C31" s="151">
        <f>SUM(C24:C30)</f>
        <v>14000</v>
      </c>
      <c r="E31" s="151">
        <f t="shared" ref="E31" si="10">SUM(E24:E30)</f>
        <v>12500</v>
      </c>
      <c r="F31" s="152"/>
      <c r="G31" s="151">
        <f t="shared" ref="G31" si="11">SUM(G24:G30)</f>
        <v>10500</v>
      </c>
      <c r="H31" s="152"/>
    </row>
    <row r="32" spans="1:23">
      <c r="E32" s="24"/>
      <c r="F32" s="152"/>
      <c r="G32" s="24"/>
      <c r="H32" s="152"/>
      <c r="V32" s="155"/>
    </row>
    <row r="33" spans="1:23">
      <c r="A33" s="149" t="s">
        <v>246</v>
      </c>
      <c r="B33" s="147"/>
      <c r="C33" s="151">
        <f>C21-C31</f>
        <v>14025</v>
      </c>
      <c r="D33" s="152">
        <f>C33/C12</f>
        <v>0.37879810938555031</v>
      </c>
      <c r="E33" s="151">
        <f t="shared" ref="E33" si="12">E21-E31</f>
        <v>13753.200000000004</v>
      </c>
      <c r="F33" s="152">
        <f t="shared" ref="F33" si="13">E33/E12</f>
        <v>0.39012628640804248</v>
      </c>
      <c r="G33" s="151">
        <f t="shared" ref="G33" si="14">G21-G31</f>
        <v>11450</v>
      </c>
      <c r="H33" s="152">
        <f t="shared" ref="H33" si="15">G33/G12</f>
        <v>0.35837245696400627</v>
      </c>
      <c r="V33" s="64"/>
      <c r="W33" s="155"/>
    </row>
    <row r="34" spans="1:23">
      <c r="E34" s="24"/>
      <c r="F34" s="152"/>
      <c r="G34" s="24"/>
      <c r="H34" s="152"/>
      <c r="V34" s="56"/>
    </row>
    <row r="35" spans="1:23">
      <c r="A35" s="147"/>
      <c r="B35" s="147" t="s">
        <v>236</v>
      </c>
      <c r="C35" s="555">
        <f>5%*'Balance Sheet - Stakeholder 2'!C26</f>
        <v>7500</v>
      </c>
      <c r="E35" s="555">
        <f>5%*'Balance Sheet - Stakeholder 2'!E26</f>
        <v>7500</v>
      </c>
      <c r="F35" s="152"/>
      <c r="G35" s="555">
        <f>5%*'Balance Sheet - Stakeholder 2'!G26</f>
        <v>6000</v>
      </c>
      <c r="H35" s="152"/>
    </row>
    <row r="36" spans="1:23">
      <c r="E36" s="24"/>
      <c r="F36" s="152"/>
      <c r="G36" s="24"/>
      <c r="H36" s="152"/>
    </row>
    <row r="37" spans="1:23">
      <c r="A37" s="149" t="s">
        <v>241</v>
      </c>
      <c r="B37" s="147"/>
      <c r="C37" s="151">
        <f>C33-C35</f>
        <v>6525</v>
      </c>
      <c r="D37" s="152">
        <f>C37/C12</f>
        <v>0.1762322754895341</v>
      </c>
      <c r="E37" s="151">
        <f t="shared" ref="E37" si="16">E33-E35</f>
        <v>6253.2000000000044</v>
      </c>
      <c r="F37" s="152">
        <f t="shared" ref="F37" si="17">E37/E12</f>
        <v>0.1773796421317782</v>
      </c>
      <c r="G37" s="151">
        <f t="shared" ref="G37" si="18">G33-G35</f>
        <v>5450</v>
      </c>
      <c r="H37" s="152">
        <f t="shared" ref="H37" si="19">G37/G12</f>
        <v>0.1705790297339593</v>
      </c>
    </row>
    <row r="38" spans="1:23">
      <c r="E38" s="24"/>
      <c r="F38" s="152"/>
      <c r="G38" s="24"/>
      <c r="H38" s="152"/>
    </row>
    <row r="39" spans="1:23">
      <c r="A39" s="147"/>
      <c r="B39" s="147" t="s">
        <v>237</v>
      </c>
      <c r="C39" s="555">
        <v>1000</v>
      </c>
      <c r="E39" s="555">
        <v>1000</v>
      </c>
      <c r="F39" s="152"/>
      <c r="G39" s="555">
        <v>800</v>
      </c>
      <c r="H39" s="152"/>
    </row>
    <row r="40" spans="1:23">
      <c r="A40" s="147"/>
      <c r="B40" s="147" t="s">
        <v>238</v>
      </c>
      <c r="C40" s="555">
        <v>1000</v>
      </c>
      <c r="E40" s="555">
        <v>1000</v>
      </c>
      <c r="F40" s="152"/>
      <c r="G40" s="555">
        <v>1500</v>
      </c>
      <c r="H40" s="152"/>
    </row>
    <row r="41" spans="1:23">
      <c r="A41" s="147"/>
      <c r="B41" s="149" t="s">
        <v>239</v>
      </c>
      <c r="C41" s="151">
        <f>SUM(C39:C40)</f>
        <v>2000</v>
      </c>
      <c r="D41" s="152">
        <f>C41/C12</f>
        <v>5.401755570560432E-2</v>
      </c>
      <c r="E41" s="151">
        <f t="shared" ref="E41" si="20">SUM(E39:E40)</f>
        <v>2000</v>
      </c>
      <c r="F41" s="152">
        <f t="shared" ref="F41" si="21">E41/E12</f>
        <v>5.6732438473670467E-2</v>
      </c>
      <c r="G41" s="151">
        <f t="shared" ref="G41" si="22">SUM(G39:G40)</f>
        <v>2300</v>
      </c>
      <c r="H41" s="152">
        <f t="shared" ref="H41" si="23">G41/G12</f>
        <v>7.1987480438184662E-2</v>
      </c>
    </row>
    <row r="42" spans="1:23">
      <c r="E42" s="24"/>
      <c r="F42" s="152"/>
      <c r="G42" s="24"/>
      <c r="H42" s="152"/>
    </row>
    <row r="43" spans="1:23">
      <c r="A43" s="149" t="s">
        <v>240</v>
      </c>
      <c r="B43" s="149"/>
      <c r="C43" s="151">
        <f>C37-C41</f>
        <v>4525</v>
      </c>
      <c r="D43" s="152">
        <f>C43/C12</f>
        <v>0.12221471978392978</v>
      </c>
      <c r="E43" s="151">
        <f t="shared" ref="E43" si="24">E37-E41</f>
        <v>4253.2000000000044</v>
      </c>
      <c r="F43" s="152">
        <f t="shared" ref="F43" si="25">E43/E12</f>
        <v>0.12064720365810774</v>
      </c>
      <c r="G43" s="151">
        <f t="shared" ref="G43" si="26">G37-G41</f>
        <v>3150</v>
      </c>
      <c r="H43" s="152">
        <f t="shared" ref="H43" si="27">G43/G12</f>
        <v>9.8591549295774641E-2</v>
      </c>
    </row>
    <row r="44" spans="1:23">
      <c r="A44" s="1"/>
      <c r="B44" s="1"/>
    </row>
  </sheetData>
  <sheetProtection algorithmName="SHA-512" hashValue="MkbXhsu435HTpTY+fS48yxRUp+o5JtU1OQx5ShQBfIHG8vsTxjIQiKDQ4/HuN19iobiS4W+Xrcw6dU+OK68l2A==" saltValue="IpMTZPbovnVdPo1C6VAHew==" spinCount="100000" sheet="1" objects="1" scenarios="1"/>
  <mergeCells count="5">
    <mergeCell ref="A2:D3"/>
    <mergeCell ref="C4:D4"/>
    <mergeCell ref="E4:F4"/>
    <mergeCell ref="G4:H4"/>
    <mergeCell ref="F2:H2"/>
  </mergeCells>
  <conditionalFormatting sqref="H43 F43 D43 H41 F41 D41 H37 F37 D37 D33 F33 H33 H21 F21 D21">
    <cfRule type="cellIs" dxfId="11" priority="1" operator="greaterThanOrEqual">
      <formula>0.025</formula>
    </cfRule>
    <cfRule type="cellIs" dxfId="10" priority="2" operator="between">
      <formula>0</formula>
      <formula>2</formula>
    </cfRule>
    <cfRule type="cellIs" dxfId="9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249977111117893"/>
    <pageSetUpPr fitToPage="1"/>
  </sheetPr>
  <dimension ref="A1:W44"/>
  <sheetViews>
    <sheetView zoomScaleNormal="100" workbookViewId="0">
      <selection activeCell="E28" sqref="E28"/>
    </sheetView>
  </sheetViews>
  <sheetFormatPr defaultRowHeight="14.35"/>
  <cols>
    <col min="1" max="1" width="6.5859375" customWidth="1"/>
    <col min="2" max="2" width="46.703125" customWidth="1"/>
    <col min="3" max="3" width="12.87890625" style="24" customWidth="1"/>
    <col min="4" max="4" width="12.87890625" style="152" customWidth="1"/>
    <col min="5" max="8" width="12.87890625" customWidth="1"/>
    <col min="9" max="9" width="2.703125" customWidth="1"/>
    <col min="15" max="15" width="7.87890625" customWidth="1"/>
    <col min="19" max="19" width="5.87890625" customWidth="1"/>
    <col min="20" max="20" width="29.87890625" customWidth="1"/>
  </cols>
  <sheetData>
    <row r="1" spans="1:23" ht="21.75" customHeight="1"/>
    <row r="2" spans="1:23" ht="14.7" thickBot="1">
      <c r="A2" s="570" t="s">
        <v>216</v>
      </c>
      <c r="B2" s="570"/>
      <c r="C2" s="570"/>
      <c r="D2" s="570"/>
      <c r="E2" s="161" t="s">
        <v>257</v>
      </c>
      <c r="F2" s="579" t="str">
        <f>'Balance Sheet - Stakeholder 3'!F1</f>
        <v>N/A</v>
      </c>
      <c r="G2" s="579"/>
      <c r="H2" s="579"/>
    </row>
    <row r="3" spans="1:23" ht="15" thickTop="1" thickBot="1">
      <c r="A3" s="570"/>
      <c r="B3" s="570"/>
      <c r="C3" s="570"/>
      <c r="D3" s="570"/>
      <c r="E3" s="115"/>
      <c r="G3" s="125"/>
      <c r="H3" s="115"/>
    </row>
    <row r="4" spans="1:23" ht="16" thickTop="1">
      <c r="A4" s="115"/>
      <c r="B4" s="116" t="s">
        <v>214</v>
      </c>
      <c r="C4" s="571">
        <f>'Pre-conditions'!B4-2</f>
        <v>2013</v>
      </c>
      <c r="D4" s="571"/>
      <c r="E4" s="572">
        <f>'Pre-conditions'!B4-3</f>
        <v>2012</v>
      </c>
      <c r="F4" s="572"/>
      <c r="G4" s="572">
        <f>'Pre-conditions'!B4-4</f>
        <v>2011</v>
      </c>
      <c r="H4" s="572"/>
    </row>
    <row r="6" spans="1:23">
      <c r="C6" s="24" t="s">
        <v>212</v>
      </c>
      <c r="D6" s="152" t="s">
        <v>242</v>
      </c>
      <c r="E6" s="24" t="s">
        <v>212</v>
      </c>
      <c r="F6" s="152" t="s">
        <v>242</v>
      </c>
      <c r="G6" s="24" t="s">
        <v>212</v>
      </c>
      <c r="H6" s="152" t="s">
        <v>242</v>
      </c>
    </row>
    <row r="7" spans="1:23">
      <c r="A7" s="149" t="s">
        <v>217</v>
      </c>
      <c r="B7" s="147"/>
      <c r="C7" s="150"/>
      <c r="E7" s="150"/>
      <c r="F7" s="152"/>
      <c r="G7" s="150"/>
      <c r="H7" s="152"/>
    </row>
    <row r="8" spans="1:23">
      <c r="A8" s="147"/>
      <c r="B8" s="147" t="s">
        <v>218</v>
      </c>
      <c r="C8" s="555">
        <v>100000</v>
      </c>
      <c r="E8" s="555">
        <v>110000</v>
      </c>
      <c r="F8" s="152"/>
      <c r="G8" s="555">
        <v>95000</v>
      </c>
      <c r="H8" s="152"/>
    </row>
    <row r="9" spans="1:23">
      <c r="A9" s="147"/>
      <c r="B9" s="147" t="s">
        <v>219</v>
      </c>
      <c r="C9" s="555"/>
      <c r="E9" s="555"/>
      <c r="F9" s="152"/>
      <c r="G9" s="555"/>
      <c r="H9" s="152"/>
    </row>
    <row r="10" spans="1:23">
      <c r="A10" s="147"/>
      <c r="B10" s="147" t="s">
        <v>232</v>
      </c>
      <c r="C10" s="555"/>
      <c r="E10" s="555"/>
      <c r="F10" s="152"/>
      <c r="G10" s="555"/>
      <c r="H10" s="152"/>
    </row>
    <row r="11" spans="1:23">
      <c r="A11" s="147"/>
      <c r="B11" s="147" t="s">
        <v>232</v>
      </c>
      <c r="C11" s="555"/>
      <c r="E11" s="555"/>
      <c r="F11" s="152"/>
      <c r="G11" s="555"/>
      <c r="H11" s="152"/>
      <c r="T11" t="s">
        <v>247</v>
      </c>
    </row>
    <row r="12" spans="1:23">
      <c r="A12" s="147"/>
      <c r="B12" s="149" t="s">
        <v>220</v>
      </c>
      <c r="C12" s="151">
        <f>SUM(C8:C11)</f>
        <v>100000</v>
      </c>
      <c r="E12" s="151">
        <f t="shared" ref="E12" si="0">SUM(E8:E11)</f>
        <v>110000</v>
      </c>
      <c r="F12" s="152"/>
      <c r="G12" s="151">
        <f t="shared" ref="G12" si="1">SUM(G8:G11)</f>
        <v>95000</v>
      </c>
      <c r="H12" s="152"/>
      <c r="U12" s="154">
        <f>G4</f>
        <v>2011</v>
      </c>
      <c r="V12" s="154">
        <f>E4</f>
        <v>2012</v>
      </c>
      <c r="W12" s="154">
        <f>C4</f>
        <v>2013</v>
      </c>
    </row>
    <row r="13" spans="1:23">
      <c r="E13" s="24"/>
      <c r="F13" s="152"/>
      <c r="G13" s="24"/>
      <c r="H13" s="152"/>
      <c r="T13" t="str">
        <f>A21</f>
        <v>Gross Profit</v>
      </c>
      <c r="U13" s="157">
        <f>H21</f>
        <v>0.15789473684210525</v>
      </c>
      <c r="V13" s="157">
        <f>F21</f>
        <v>0.16363636363636364</v>
      </c>
      <c r="W13" s="157">
        <f>D21</f>
        <v>0.12</v>
      </c>
    </row>
    <row r="14" spans="1:23">
      <c r="A14" s="149" t="s">
        <v>221</v>
      </c>
      <c r="B14" s="147"/>
      <c r="C14" s="150"/>
      <c r="E14" s="150"/>
      <c r="F14" s="152"/>
      <c r="G14" s="150"/>
      <c r="H14" s="152"/>
      <c r="T14" t="str">
        <f>A33</f>
        <v>Operating profit / EBIDA</v>
      </c>
      <c r="U14" s="157">
        <f>H33</f>
        <v>0.11052631578947368</v>
      </c>
      <c r="V14" s="157">
        <f>F33</f>
        <v>0.10909090909090909</v>
      </c>
      <c r="W14" s="157">
        <f>D33</f>
        <v>7.0000000000000007E-2</v>
      </c>
    </row>
    <row r="15" spans="1:23">
      <c r="A15" s="147"/>
      <c r="B15" s="147" t="s">
        <v>234</v>
      </c>
      <c r="C15" s="555">
        <v>88000</v>
      </c>
      <c r="E15" s="555">
        <v>92000</v>
      </c>
      <c r="F15" s="152"/>
      <c r="G15" s="555">
        <v>80000</v>
      </c>
      <c r="H15" s="152"/>
      <c r="T15" t="str">
        <f>A37</f>
        <v>Earnings before tax / EBIT / PBIT</v>
      </c>
      <c r="U15" s="157">
        <f>H37</f>
        <v>8.9473684210526316E-2</v>
      </c>
      <c r="V15" s="157">
        <f>F37</f>
        <v>8.9090909090909096E-2</v>
      </c>
      <c r="W15" s="157">
        <f>D37</f>
        <v>5.5E-2</v>
      </c>
    </row>
    <row r="16" spans="1:23">
      <c r="A16" s="147"/>
      <c r="B16" s="147" t="s">
        <v>226</v>
      </c>
      <c r="C16" s="555"/>
      <c r="E16" s="555"/>
      <c r="F16" s="152"/>
      <c r="G16" s="555"/>
      <c r="H16" s="152"/>
      <c r="T16" t="str">
        <f>B41</f>
        <v>Financial Expenses</v>
      </c>
      <c r="U16" s="157">
        <f>H41</f>
        <v>3.6842105263157891E-2</v>
      </c>
      <c r="V16" s="157">
        <f>F41</f>
        <v>3.6363636363636362E-2</v>
      </c>
      <c r="W16" s="157">
        <f>D41</f>
        <v>0.02</v>
      </c>
    </row>
    <row r="17" spans="1:23">
      <c r="A17" s="147"/>
      <c r="B17" s="147" t="s">
        <v>227</v>
      </c>
      <c r="C17" s="555"/>
      <c r="E17" s="555"/>
      <c r="F17" s="152"/>
      <c r="G17" s="555"/>
      <c r="H17" s="152"/>
      <c r="T17" t="str">
        <f>A43</f>
        <v>Net income / Net profit</v>
      </c>
      <c r="U17" s="157">
        <f>H43</f>
        <v>5.2631578947368418E-2</v>
      </c>
      <c r="V17" s="157">
        <f>F43</f>
        <v>5.2727272727272727E-2</v>
      </c>
      <c r="W17" s="157">
        <f>D43</f>
        <v>3.5000000000000003E-2</v>
      </c>
    </row>
    <row r="18" spans="1:23">
      <c r="A18" s="147"/>
      <c r="B18" s="147" t="s">
        <v>228</v>
      </c>
      <c r="C18" s="555"/>
      <c r="E18" s="555"/>
      <c r="F18" s="152"/>
      <c r="G18" s="555"/>
      <c r="H18" s="152"/>
    </row>
    <row r="19" spans="1:23">
      <c r="A19" s="147"/>
      <c r="B19" s="147" t="s">
        <v>228</v>
      </c>
      <c r="C19" s="555"/>
      <c r="E19" s="555"/>
      <c r="F19" s="152"/>
      <c r="G19" s="555"/>
      <c r="H19" s="152"/>
    </row>
    <row r="20" spans="1:23">
      <c r="A20" s="147"/>
      <c r="B20" s="149" t="s">
        <v>229</v>
      </c>
      <c r="C20" s="151">
        <f>SUM(C15:C19)</f>
        <v>88000</v>
      </c>
      <c r="E20" s="151">
        <f t="shared" ref="E20" si="2">SUM(E15:E19)</f>
        <v>92000</v>
      </c>
      <c r="F20" s="152"/>
      <c r="G20" s="151">
        <f t="shared" ref="G20" si="3">SUM(G15:G19)</f>
        <v>80000</v>
      </c>
      <c r="H20" s="152"/>
    </row>
    <row r="21" spans="1:23">
      <c r="A21" s="149" t="s">
        <v>235</v>
      </c>
      <c r="B21" s="149"/>
      <c r="C21" s="151">
        <f>C12-C20</f>
        <v>12000</v>
      </c>
      <c r="D21" s="152">
        <f>C21/C12</f>
        <v>0.12</v>
      </c>
      <c r="E21" s="151">
        <f t="shared" ref="E21" si="4">E12-E20</f>
        <v>18000</v>
      </c>
      <c r="F21" s="152">
        <f t="shared" ref="F21" si="5">E21/E12</f>
        <v>0.16363636363636364</v>
      </c>
      <c r="G21" s="151">
        <f t="shared" ref="G21" si="6">G12-G20</f>
        <v>15000</v>
      </c>
      <c r="H21" s="152">
        <f t="shared" ref="H21" si="7">G21/G12</f>
        <v>0.15789473684210525</v>
      </c>
    </row>
    <row r="22" spans="1:23">
      <c r="E22" s="24"/>
      <c r="F22" s="152"/>
      <c r="G22" s="24"/>
      <c r="H22" s="152"/>
    </row>
    <row r="23" spans="1:23">
      <c r="A23" s="146" t="s">
        <v>222</v>
      </c>
      <c r="B23" s="147"/>
      <c r="C23" s="150"/>
      <c r="E23" s="150"/>
      <c r="F23" s="152"/>
      <c r="G23" s="150"/>
      <c r="H23" s="152"/>
      <c r="T23" t="s">
        <v>248</v>
      </c>
    </row>
    <row r="24" spans="1:23">
      <c r="A24" s="147"/>
      <c r="B24" s="147" t="s">
        <v>223</v>
      </c>
      <c r="C24" s="555"/>
      <c r="E24" s="555"/>
      <c r="F24" s="152"/>
      <c r="G24" s="555"/>
      <c r="H24" s="152"/>
      <c r="U24" s="156">
        <f>U12</f>
        <v>2011</v>
      </c>
      <c r="V24" s="156">
        <f t="shared" ref="V24:W24" si="8">V12</f>
        <v>2012</v>
      </c>
      <c r="W24" s="156">
        <f t="shared" si="8"/>
        <v>2013</v>
      </c>
    </row>
    <row r="25" spans="1:23">
      <c r="A25" s="147"/>
      <c r="B25" s="147" t="s">
        <v>224</v>
      </c>
      <c r="C25" s="555">
        <v>5000</v>
      </c>
      <c r="E25" s="555">
        <v>6000</v>
      </c>
      <c r="F25" s="152"/>
      <c r="G25" s="555">
        <v>4500</v>
      </c>
      <c r="H25" s="152"/>
      <c r="T25" s="156" t="str">
        <f>T13</f>
        <v>Gross Profit</v>
      </c>
      <c r="V25" s="56">
        <f>-(G21-E21)/G21</f>
        <v>0.2</v>
      </c>
      <c r="W25" s="56">
        <f>-(E21-C21)/E21</f>
        <v>-0.33333333333333331</v>
      </c>
    </row>
    <row r="26" spans="1:23">
      <c r="A26" s="147"/>
      <c r="B26" s="147" t="s">
        <v>225</v>
      </c>
      <c r="C26" s="555"/>
      <c r="E26" s="555"/>
      <c r="F26" s="152"/>
      <c r="G26" s="555"/>
      <c r="H26" s="152"/>
      <c r="T26" s="156" t="str">
        <f t="shared" ref="T26:T29" si="9">T14</f>
        <v>Operating profit / EBIDA</v>
      </c>
      <c r="V26" s="56">
        <f>-(G33-E33)/G33</f>
        <v>0.14285714285714285</v>
      </c>
      <c r="W26" s="56">
        <f>-(E33-C33)/E33</f>
        <v>-0.41666666666666669</v>
      </c>
    </row>
    <row r="27" spans="1:23">
      <c r="A27" s="147"/>
      <c r="B27" s="147" t="s">
        <v>231</v>
      </c>
      <c r="C27" s="555"/>
      <c r="E27" s="555"/>
      <c r="F27" s="152"/>
      <c r="G27" s="555"/>
      <c r="H27" s="152"/>
      <c r="T27" s="156" t="str">
        <f t="shared" si="9"/>
        <v>Earnings before tax / EBIT / PBIT</v>
      </c>
      <c r="V27" s="56">
        <f>-(G37-E37)/G37</f>
        <v>0.15294117647058825</v>
      </c>
      <c r="W27" s="56">
        <f>-(E37-C37)/E37</f>
        <v>-0.43877551020408162</v>
      </c>
    </row>
    <row r="28" spans="1:23">
      <c r="A28" s="147"/>
      <c r="B28" s="147" t="s">
        <v>233</v>
      </c>
      <c r="C28" s="555"/>
      <c r="E28" s="555"/>
      <c r="F28" s="152"/>
      <c r="G28" s="555"/>
      <c r="H28" s="152"/>
      <c r="T28" s="156" t="str">
        <f t="shared" si="9"/>
        <v>Financial Expenses</v>
      </c>
      <c r="V28" s="56">
        <f>-(G41-E41)/G41</f>
        <v>0.14285714285714285</v>
      </c>
      <c r="W28" s="56">
        <f>-(E41-C41)/E41</f>
        <v>-0.5</v>
      </c>
    </row>
    <row r="29" spans="1:23">
      <c r="A29" s="147"/>
      <c r="B29" s="147" t="s">
        <v>228</v>
      </c>
      <c r="C29" s="555"/>
      <c r="E29" s="555"/>
      <c r="F29" s="152"/>
      <c r="G29" s="555"/>
      <c r="H29" s="152"/>
      <c r="T29" s="156" t="str">
        <f t="shared" si="9"/>
        <v>Net income / Net profit</v>
      </c>
      <c r="V29" s="56">
        <f>-(G43-E43)/G43</f>
        <v>0.16</v>
      </c>
      <c r="W29" s="56">
        <f>(E43-C43)/E43</f>
        <v>0.39655172413793105</v>
      </c>
    </row>
    <row r="30" spans="1:23">
      <c r="A30" s="147"/>
      <c r="B30" s="147" t="s">
        <v>228</v>
      </c>
      <c r="C30" s="555"/>
      <c r="E30" s="555"/>
      <c r="F30" s="152"/>
      <c r="G30" s="555"/>
      <c r="H30" s="152"/>
    </row>
    <row r="31" spans="1:23">
      <c r="A31" s="147"/>
      <c r="B31" s="149" t="s">
        <v>230</v>
      </c>
      <c r="C31" s="151">
        <f>SUM(C24:C30)</f>
        <v>5000</v>
      </c>
      <c r="E31" s="151">
        <f t="shared" ref="E31" si="10">SUM(E24:E30)</f>
        <v>6000</v>
      </c>
      <c r="F31" s="152"/>
      <c r="G31" s="151">
        <f t="shared" ref="G31" si="11">SUM(G24:G30)</f>
        <v>4500</v>
      </c>
      <c r="H31" s="152"/>
    </row>
    <row r="32" spans="1:23">
      <c r="E32" s="24"/>
      <c r="F32" s="152"/>
      <c r="G32" s="24"/>
      <c r="H32" s="152"/>
      <c r="V32" s="155"/>
    </row>
    <row r="33" spans="1:23">
      <c r="A33" s="149" t="s">
        <v>246</v>
      </c>
      <c r="B33" s="147"/>
      <c r="C33" s="151">
        <f>C21-C31</f>
        <v>7000</v>
      </c>
      <c r="D33" s="152">
        <f>C33/C12</f>
        <v>7.0000000000000007E-2</v>
      </c>
      <c r="E33" s="151">
        <f t="shared" ref="E33" si="12">E21-E31</f>
        <v>12000</v>
      </c>
      <c r="F33" s="152">
        <f t="shared" ref="F33" si="13">E33/E12</f>
        <v>0.10909090909090909</v>
      </c>
      <c r="G33" s="151">
        <f t="shared" ref="G33" si="14">G21-G31</f>
        <v>10500</v>
      </c>
      <c r="H33" s="152">
        <f t="shared" ref="H33" si="15">G33/G12</f>
        <v>0.11052631578947368</v>
      </c>
      <c r="V33" s="64"/>
      <c r="W33" s="155"/>
    </row>
    <row r="34" spans="1:23">
      <c r="E34" s="24"/>
      <c r="F34" s="152"/>
      <c r="G34" s="24"/>
      <c r="H34" s="152"/>
      <c r="V34" s="56"/>
    </row>
    <row r="35" spans="1:23">
      <c r="A35" s="147"/>
      <c r="B35" s="147" t="s">
        <v>236</v>
      </c>
      <c r="C35" s="555">
        <v>1500</v>
      </c>
      <c r="E35" s="555">
        <v>2200</v>
      </c>
      <c r="F35" s="152"/>
      <c r="G35" s="555">
        <v>2000</v>
      </c>
      <c r="H35" s="152"/>
    </row>
    <row r="36" spans="1:23">
      <c r="E36" s="24"/>
      <c r="F36" s="152"/>
      <c r="G36" s="24"/>
      <c r="H36" s="152"/>
    </row>
    <row r="37" spans="1:23">
      <c r="A37" s="149" t="s">
        <v>241</v>
      </c>
      <c r="B37" s="147"/>
      <c r="C37" s="151">
        <f>C33-C35</f>
        <v>5500</v>
      </c>
      <c r="D37" s="152">
        <f>C37/C12</f>
        <v>5.5E-2</v>
      </c>
      <c r="E37" s="151">
        <f t="shared" ref="E37" si="16">E33-E35</f>
        <v>9800</v>
      </c>
      <c r="F37" s="152">
        <f t="shared" ref="F37" si="17">E37/E12</f>
        <v>8.9090909090909096E-2</v>
      </c>
      <c r="G37" s="151">
        <f t="shared" ref="G37" si="18">G33-G35</f>
        <v>8500</v>
      </c>
      <c r="H37" s="152">
        <f t="shared" ref="H37" si="19">G37/G12</f>
        <v>8.9473684210526316E-2</v>
      </c>
    </row>
    <row r="38" spans="1:23">
      <c r="E38" s="24"/>
      <c r="F38" s="152"/>
      <c r="G38" s="24"/>
      <c r="H38" s="152"/>
    </row>
    <row r="39" spans="1:23">
      <c r="A39" s="147"/>
      <c r="B39" s="147" t="s">
        <v>237</v>
      </c>
      <c r="C39" s="555">
        <v>1000</v>
      </c>
      <c r="E39" s="555">
        <v>3000</v>
      </c>
      <c r="F39" s="152"/>
      <c r="G39" s="555">
        <v>2000</v>
      </c>
      <c r="H39" s="152"/>
    </row>
    <row r="40" spans="1:23">
      <c r="A40" s="147"/>
      <c r="B40" s="147" t="s">
        <v>238</v>
      </c>
      <c r="C40" s="555">
        <v>1000</v>
      </c>
      <c r="E40" s="555">
        <v>1000</v>
      </c>
      <c r="F40" s="152"/>
      <c r="G40" s="555">
        <v>1500</v>
      </c>
      <c r="H40" s="152"/>
    </row>
    <row r="41" spans="1:23">
      <c r="A41" s="147"/>
      <c r="B41" s="149" t="s">
        <v>239</v>
      </c>
      <c r="C41" s="151">
        <f>SUM(C39:C40)</f>
        <v>2000</v>
      </c>
      <c r="D41" s="152">
        <f>C41/C12</f>
        <v>0.02</v>
      </c>
      <c r="E41" s="151">
        <f t="shared" ref="E41" si="20">SUM(E39:E40)</f>
        <v>4000</v>
      </c>
      <c r="F41" s="152">
        <f t="shared" ref="F41" si="21">E41/E12</f>
        <v>3.6363636363636362E-2</v>
      </c>
      <c r="G41" s="151">
        <f t="shared" ref="G41" si="22">SUM(G39:G40)</f>
        <v>3500</v>
      </c>
      <c r="H41" s="152">
        <f t="shared" ref="H41" si="23">G41/G12</f>
        <v>3.6842105263157891E-2</v>
      </c>
    </row>
    <row r="42" spans="1:23">
      <c r="E42" s="24"/>
      <c r="F42" s="152"/>
      <c r="G42" s="24"/>
      <c r="H42" s="152"/>
    </row>
    <row r="43" spans="1:23">
      <c r="A43" s="149" t="s">
        <v>240</v>
      </c>
      <c r="B43" s="149"/>
      <c r="C43" s="158">
        <f>C37-C41</f>
        <v>3500</v>
      </c>
      <c r="D43" s="152">
        <f>C43/C12</f>
        <v>3.5000000000000003E-2</v>
      </c>
      <c r="E43" s="151">
        <f t="shared" ref="E43" si="24">E37-E41</f>
        <v>5800</v>
      </c>
      <c r="F43" s="152">
        <f t="shared" ref="F43" si="25">E43/E12</f>
        <v>5.2727272727272727E-2</v>
      </c>
      <c r="G43" s="158">
        <f t="shared" ref="G43" si="26">G37-G41</f>
        <v>5000</v>
      </c>
      <c r="H43" s="152">
        <f t="shared" ref="H43" si="27">G43/G12</f>
        <v>5.2631578947368418E-2</v>
      </c>
    </row>
    <row r="44" spans="1:23">
      <c r="A44" s="1"/>
      <c r="B44" s="1"/>
    </row>
  </sheetData>
  <sheetProtection algorithmName="SHA-512" hashValue="cX18aSraW+MtZzzxmJYyUNGkglAAzRnZKEtliuWSy1Tv2EjFrfZD4vo/DH0u2hfB+IAFQWNbiTLLm0So84/XuA==" saltValue="c50005A6OPl9Np6yxkpq6Q==" spinCount="100000" sheet="1" objects="1" scenarios="1"/>
  <mergeCells count="5">
    <mergeCell ref="A2:D3"/>
    <mergeCell ref="C4:D4"/>
    <mergeCell ref="E4:F4"/>
    <mergeCell ref="G4:H4"/>
    <mergeCell ref="F2:H2"/>
  </mergeCells>
  <conditionalFormatting sqref="H43 F43 D43 H41 F41 D41 H37 F37 D37 D33 F33 H33 H21 F21 D21">
    <cfRule type="cellIs" dxfId="8" priority="1" operator="greaterThanOrEqual">
      <formula>0.025</formula>
    </cfRule>
    <cfRule type="cellIs" dxfId="7" priority="2" operator="between">
      <formula>0</formula>
      <formula>2</formula>
    </cfRule>
    <cfRule type="cellIs" dxfId="6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 tint="-0.249977111117893"/>
    <pageSetUpPr fitToPage="1"/>
  </sheetPr>
  <dimension ref="A1:W44"/>
  <sheetViews>
    <sheetView zoomScaleNormal="100" workbookViewId="0">
      <selection activeCell="D6" sqref="D6"/>
    </sheetView>
  </sheetViews>
  <sheetFormatPr defaultRowHeight="14.35"/>
  <cols>
    <col min="1" max="1" width="6.5859375" customWidth="1"/>
    <col min="2" max="2" width="46.703125" customWidth="1"/>
    <col min="3" max="3" width="12.29296875" style="24" customWidth="1"/>
    <col min="4" max="4" width="12.29296875" style="152" customWidth="1"/>
    <col min="5" max="8" width="12.29296875" customWidth="1"/>
    <col min="9" max="9" width="2.703125" customWidth="1"/>
    <col min="15" max="15" width="7.87890625" customWidth="1"/>
    <col min="19" max="19" width="5.87890625" customWidth="1"/>
    <col min="20" max="20" width="29.87890625" customWidth="1"/>
  </cols>
  <sheetData>
    <row r="1" spans="1:23" ht="24" customHeight="1"/>
    <row r="2" spans="1:23" ht="14.7" thickBot="1">
      <c r="A2" s="570" t="s">
        <v>216</v>
      </c>
      <c r="B2" s="570"/>
      <c r="C2" s="570"/>
      <c r="D2" s="570"/>
      <c r="E2" s="161" t="s">
        <v>257</v>
      </c>
      <c r="F2" s="579" t="str">
        <f>'Balance Sheet - Stakeholder 4'!F1</f>
        <v>N/A</v>
      </c>
      <c r="G2" s="579"/>
      <c r="H2" s="579"/>
    </row>
    <row r="3" spans="1:23" ht="15" thickTop="1" thickBot="1">
      <c r="A3" s="570"/>
      <c r="B3" s="570"/>
      <c r="C3" s="570"/>
      <c r="D3" s="570"/>
      <c r="E3" s="115"/>
      <c r="G3" s="125"/>
      <c r="H3" s="115"/>
    </row>
    <row r="4" spans="1:23" ht="16" thickTop="1">
      <c r="A4" s="115"/>
      <c r="B4" s="116" t="s">
        <v>214</v>
      </c>
      <c r="C4" s="571">
        <f>'Pre-conditions'!B4-2</f>
        <v>2013</v>
      </c>
      <c r="D4" s="571"/>
      <c r="E4" s="572">
        <f>'Pre-conditions'!B4-3</f>
        <v>2012</v>
      </c>
      <c r="F4" s="572"/>
      <c r="G4" s="572">
        <f>'Pre-conditions'!B4-4</f>
        <v>2011</v>
      </c>
      <c r="H4" s="572"/>
    </row>
    <row r="6" spans="1:23">
      <c r="C6" s="24" t="s">
        <v>212</v>
      </c>
      <c r="D6" s="152" t="s">
        <v>242</v>
      </c>
      <c r="E6" s="24" t="s">
        <v>212</v>
      </c>
      <c r="F6" s="152" t="s">
        <v>242</v>
      </c>
      <c r="G6" s="24" t="s">
        <v>212</v>
      </c>
      <c r="H6" s="152" t="s">
        <v>242</v>
      </c>
    </row>
    <row r="7" spans="1:23">
      <c r="A7" s="149" t="s">
        <v>217</v>
      </c>
      <c r="B7" s="147"/>
      <c r="C7" s="150"/>
      <c r="E7" s="150"/>
      <c r="F7" s="152"/>
      <c r="G7" s="150"/>
      <c r="H7" s="152"/>
    </row>
    <row r="8" spans="1:23">
      <c r="A8" s="147"/>
      <c r="B8" s="147" t="s">
        <v>218</v>
      </c>
      <c r="C8" s="555">
        <v>100000</v>
      </c>
      <c r="E8" s="555">
        <v>110000</v>
      </c>
      <c r="F8" s="152"/>
      <c r="G8" s="555">
        <v>95000</v>
      </c>
      <c r="H8" s="152"/>
    </row>
    <row r="9" spans="1:23">
      <c r="A9" s="147"/>
      <c r="B9" s="147" t="s">
        <v>219</v>
      </c>
      <c r="C9" s="555"/>
      <c r="E9" s="555"/>
      <c r="F9" s="152"/>
      <c r="G9" s="555"/>
      <c r="H9" s="152"/>
    </row>
    <row r="10" spans="1:23">
      <c r="A10" s="147"/>
      <c r="B10" s="147" t="s">
        <v>232</v>
      </c>
      <c r="C10" s="555"/>
      <c r="E10" s="555"/>
      <c r="F10" s="152"/>
      <c r="G10" s="555"/>
      <c r="H10" s="152"/>
    </row>
    <row r="11" spans="1:23">
      <c r="A11" s="147"/>
      <c r="B11" s="147" t="s">
        <v>232</v>
      </c>
      <c r="C11" s="555"/>
      <c r="E11" s="555"/>
      <c r="F11" s="152"/>
      <c r="G11" s="555"/>
      <c r="H11" s="152"/>
      <c r="T11" t="s">
        <v>247</v>
      </c>
    </row>
    <row r="12" spans="1:23">
      <c r="A12" s="147"/>
      <c r="B12" s="149" t="s">
        <v>220</v>
      </c>
      <c r="C12" s="151">
        <f>SUM(C8:C11)</f>
        <v>100000</v>
      </c>
      <c r="E12" s="151">
        <f t="shared" ref="E12" si="0">SUM(E8:E11)</f>
        <v>110000</v>
      </c>
      <c r="F12" s="152"/>
      <c r="G12" s="151">
        <f t="shared" ref="G12" si="1">SUM(G8:G11)</f>
        <v>95000</v>
      </c>
      <c r="H12" s="152"/>
      <c r="U12" s="154">
        <f>G4</f>
        <v>2011</v>
      </c>
      <c r="V12" s="154">
        <f>E4</f>
        <v>2012</v>
      </c>
      <c r="W12" s="154">
        <f>C4</f>
        <v>2013</v>
      </c>
    </row>
    <row r="13" spans="1:23">
      <c r="E13" s="24"/>
      <c r="F13" s="152"/>
      <c r="G13" s="24"/>
      <c r="H13" s="152"/>
      <c r="T13" t="str">
        <f>A21</f>
        <v>Gross Profit</v>
      </c>
      <c r="U13" s="157">
        <f>H21</f>
        <v>0.15789473684210525</v>
      </c>
      <c r="V13" s="157">
        <f>F21</f>
        <v>0.16363636363636364</v>
      </c>
      <c r="W13" s="157">
        <f>D21</f>
        <v>0.12</v>
      </c>
    </row>
    <row r="14" spans="1:23">
      <c r="A14" s="149" t="s">
        <v>221</v>
      </c>
      <c r="B14" s="147"/>
      <c r="C14" s="150"/>
      <c r="E14" s="150"/>
      <c r="F14" s="152"/>
      <c r="G14" s="150"/>
      <c r="H14" s="152"/>
      <c r="T14" t="str">
        <f>A33</f>
        <v>Operating profit / EBIDA</v>
      </c>
      <c r="U14" s="157">
        <f>H33</f>
        <v>0.11052631578947368</v>
      </c>
      <c r="V14" s="157">
        <f>F33</f>
        <v>0.10909090909090909</v>
      </c>
      <c r="W14" s="157">
        <f>D33</f>
        <v>7.0000000000000007E-2</v>
      </c>
    </row>
    <row r="15" spans="1:23">
      <c r="A15" s="147"/>
      <c r="B15" s="147" t="s">
        <v>234</v>
      </c>
      <c r="C15" s="555">
        <v>88000</v>
      </c>
      <c r="E15" s="555">
        <v>92000</v>
      </c>
      <c r="F15" s="152"/>
      <c r="G15" s="555">
        <v>80000</v>
      </c>
      <c r="H15" s="152"/>
      <c r="T15" t="str">
        <f>A37</f>
        <v>Earnings before tax / EBIT / PBIT</v>
      </c>
      <c r="U15" s="157">
        <f>H37</f>
        <v>8.9473684210526316E-2</v>
      </c>
      <c r="V15" s="157">
        <f>F37</f>
        <v>8.9090909090909096E-2</v>
      </c>
      <c r="W15" s="157">
        <f>D37</f>
        <v>5.5E-2</v>
      </c>
    </row>
    <row r="16" spans="1:23">
      <c r="A16" s="147"/>
      <c r="B16" s="147" t="s">
        <v>226</v>
      </c>
      <c r="C16" s="555"/>
      <c r="E16" s="555"/>
      <c r="F16" s="152"/>
      <c r="G16" s="555"/>
      <c r="H16" s="152"/>
      <c r="T16" t="str">
        <f>B41</f>
        <v>Financial Expenses</v>
      </c>
      <c r="U16" s="157">
        <f>H41</f>
        <v>3.6842105263157891E-2</v>
      </c>
      <c r="V16" s="157">
        <f>F41</f>
        <v>3.6363636363636362E-2</v>
      </c>
      <c r="W16" s="157">
        <f>D41</f>
        <v>0.02</v>
      </c>
    </row>
    <row r="17" spans="1:23">
      <c r="A17" s="147"/>
      <c r="B17" s="147" t="s">
        <v>227</v>
      </c>
      <c r="C17" s="555"/>
      <c r="E17" s="555"/>
      <c r="F17" s="152"/>
      <c r="G17" s="555"/>
      <c r="H17" s="152"/>
      <c r="T17" t="str">
        <f>A43</f>
        <v>Net income / Net profit</v>
      </c>
      <c r="U17" s="157">
        <f>H43</f>
        <v>5.2631578947368418E-2</v>
      </c>
      <c r="V17" s="157">
        <f>F43</f>
        <v>5.2727272727272727E-2</v>
      </c>
      <c r="W17" s="157">
        <f>D43</f>
        <v>3.5000000000000003E-2</v>
      </c>
    </row>
    <row r="18" spans="1:23">
      <c r="A18" s="147"/>
      <c r="B18" s="147" t="s">
        <v>228</v>
      </c>
      <c r="C18" s="555"/>
      <c r="E18" s="555"/>
      <c r="F18" s="152"/>
      <c r="G18" s="555"/>
      <c r="H18" s="152"/>
    </row>
    <row r="19" spans="1:23">
      <c r="A19" s="147"/>
      <c r="B19" s="147" t="s">
        <v>228</v>
      </c>
      <c r="C19" s="555"/>
      <c r="E19" s="555"/>
      <c r="F19" s="152"/>
      <c r="G19" s="555"/>
      <c r="H19" s="152"/>
    </row>
    <row r="20" spans="1:23">
      <c r="A20" s="147"/>
      <c r="B20" s="149" t="s">
        <v>229</v>
      </c>
      <c r="C20" s="151">
        <f>SUM(C15:C19)</f>
        <v>88000</v>
      </c>
      <c r="E20" s="151">
        <f t="shared" ref="E20" si="2">SUM(E15:E19)</f>
        <v>92000</v>
      </c>
      <c r="F20" s="152"/>
      <c r="G20" s="151">
        <f t="shared" ref="G20" si="3">SUM(G15:G19)</f>
        <v>80000</v>
      </c>
      <c r="H20" s="152"/>
    </row>
    <row r="21" spans="1:23">
      <c r="A21" s="149" t="s">
        <v>235</v>
      </c>
      <c r="B21" s="149"/>
      <c r="C21" s="151">
        <f>C12-C20</f>
        <v>12000</v>
      </c>
      <c r="D21" s="152">
        <f>C21/C12</f>
        <v>0.12</v>
      </c>
      <c r="E21" s="151">
        <f t="shared" ref="E21" si="4">E12-E20</f>
        <v>18000</v>
      </c>
      <c r="F21" s="152">
        <f t="shared" ref="F21" si="5">E21/E12</f>
        <v>0.16363636363636364</v>
      </c>
      <c r="G21" s="151">
        <f t="shared" ref="G21" si="6">G12-G20</f>
        <v>15000</v>
      </c>
      <c r="H21" s="152">
        <f t="shared" ref="H21" si="7">G21/G12</f>
        <v>0.15789473684210525</v>
      </c>
    </row>
    <row r="22" spans="1:23">
      <c r="E22" s="24"/>
      <c r="F22" s="152"/>
      <c r="G22" s="24"/>
      <c r="H22" s="152"/>
    </row>
    <row r="23" spans="1:23">
      <c r="A23" s="146" t="s">
        <v>222</v>
      </c>
      <c r="B23" s="147"/>
      <c r="C23" s="150"/>
      <c r="E23" s="150"/>
      <c r="F23" s="152"/>
      <c r="G23" s="150"/>
      <c r="H23" s="152"/>
      <c r="T23" t="s">
        <v>248</v>
      </c>
    </row>
    <row r="24" spans="1:23">
      <c r="A24" s="147"/>
      <c r="B24" s="147" t="s">
        <v>223</v>
      </c>
      <c r="C24" s="555"/>
      <c r="E24" s="555"/>
      <c r="F24" s="152"/>
      <c r="G24" s="555"/>
      <c r="H24" s="152"/>
      <c r="U24" s="156">
        <f>U12</f>
        <v>2011</v>
      </c>
      <c r="V24" s="156">
        <f t="shared" ref="V24:W24" si="8">V12</f>
        <v>2012</v>
      </c>
      <c r="W24" s="156">
        <f t="shared" si="8"/>
        <v>2013</v>
      </c>
    </row>
    <row r="25" spans="1:23">
      <c r="A25" s="147"/>
      <c r="B25" s="147" t="s">
        <v>224</v>
      </c>
      <c r="C25" s="555">
        <v>5000</v>
      </c>
      <c r="E25" s="555">
        <v>6000</v>
      </c>
      <c r="F25" s="152"/>
      <c r="G25" s="555">
        <v>4500</v>
      </c>
      <c r="H25" s="152"/>
      <c r="T25" s="156" t="str">
        <f>T13</f>
        <v>Gross Profit</v>
      </c>
      <c r="V25" s="56">
        <f>-(G21-E21)/G21</f>
        <v>0.2</v>
      </c>
      <c r="W25" s="56">
        <f>-(E21-C21)/E21</f>
        <v>-0.33333333333333331</v>
      </c>
    </row>
    <row r="26" spans="1:23">
      <c r="A26" s="147"/>
      <c r="B26" s="147" t="s">
        <v>225</v>
      </c>
      <c r="C26" s="555"/>
      <c r="E26" s="555"/>
      <c r="F26" s="152"/>
      <c r="G26" s="555"/>
      <c r="H26" s="152"/>
      <c r="T26" s="156" t="str">
        <f t="shared" ref="T26:T29" si="9">T14</f>
        <v>Operating profit / EBIDA</v>
      </c>
      <c r="V26" s="56">
        <f>-(G33-E33)/G33</f>
        <v>0.14285714285714285</v>
      </c>
      <c r="W26" s="56">
        <f>-(E33-C33)/E33</f>
        <v>-0.41666666666666669</v>
      </c>
    </row>
    <row r="27" spans="1:23">
      <c r="A27" s="147"/>
      <c r="B27" s="147" t="s">
        <v>231</v>
      </c>
      <c r="C27" s="555"/>
      <c r="E27" s="555"/>
      <c r="F27" s="152"/>
      <c r="G27" s="555"/>
      <c r="H27" s="152"/>
      <c r="T27" s="156" t="str">
        <f t="shared" si="9"/>
        <v>Earnings before tax / EBIT / PBIT</v>
      </c>
      <c r="V27" s="56">
        <f>-(G37-E37)/G37</f>
        <v>0.15294117647058825</v>
      </c>
      <c r="W27" s="56">
        <f>-(E37-C37)/E37</f>
        <v>-0.43877551020408162</v>
      </c>
    </row>
    <row r="28" spans="1:23">
      <c r="A28" s="147"/>
      <c r="B28" s="147" t="s">
        <v>233</v>
      </c>
      <c r="C28" s="555"/>
      <c r="E28" s="555"/>
      <c r="F28" s="152"/>
      <c r="G28" s="555"/>
      <c r="H28" s="152"/>
      <c r="T28" s="156" t="str">
        <f t="shared" si="9"/>
        <v>Financial Expenses</v>
      </c>
      <c r="V28" s="56">
        <f>-(G41-E41)/G41</f>
        <v>0.14285714285714285</v>
      </c>
      <c r="W28" s="56">
        <f>-(E41-C41)/E41</f>
        <v>-0.5</v>
      </c>
    </row>
    <row r="29" spans="1:23">
      <c r="A29" s="147"/>
      <c r="B29" s="147" t="s">
        <v>228</v>
      </c>
      <c r="C29" s="555"/>
      <c r="E29" s="555"/>
      <c r="F29" s="152"/>
      <c r="G29" s="555"/>
      <c r="H29" s="152"/>
      <c r="T29" s="156" t="str">
        <f t="shared" si="9"/>
        <v>Net income / Net profit</v>
      </c>
      <c r="V29" s="56">
        <f>-(G43-E43)/G43</f>
        <v>0.16</v>
      </c>
      <c r="W29" s="56">
        <f>(E43-C43)/E43</f>
        <v>0.39655172413793105</v>
      </c>
    </row>
    <row r="30" spans="1:23">
      <c r="A30" s="147"/>
      <c r="B30" s="147" t="s">
        <v>228</v>
      </c>
      <c r="C30" s="555"/>
      <c r="E30" s="555"/>
      <c r="F30" s="152"/>
      <c r="G30" s="555"/>
      <c r="H30" s="152"/>
    </row>
    <row r="31" spans="1:23">
      <c r="A31" s="147"/>
      <c r="B31" s="149" t="s">
        <v>230</v>
      </c>
      <c r="C31" s="151">
        <f>SUM(C24:C30)</f>
        <v>5000</v>
      </c>
      <c r="E31" s="151">
        <f t="shared" ref="E31" si="10">SUM(E24:E30)</f>
        <v>6000</v>
      </c>
      <c r="F31" s="152"/>
      <c r="G31" s="151">
        <f t="shared" ref="G31" si="11">SUM(G24:G30)</f>
        <v>4500</v>
      </c>
      <c r="H31" s="152"/>
    </row>
    <row r="32" spans="1:23">
      <c r="E32" s="24"/>
      <c r="F32" s="152"/>
      <c r="G32" s="24"/>
      <c r="H32" s="152"/>
      <c r="V32" s="155"/>
    </row>
    <row r="33" spans="1:23">
      <c r="A33" s="149" t="s">
        <v>246</v>
      </c>
      <c r="B33" s="147"/>
      <c r="C33" s="151">
        <f>C21-C31</f>
        <v>7000</v>
      </c>
      <c r="D33" s="152">
        <f>C33/C12</f>
        <v>7.0000000000000007E-2</v>
      </c>
      <c r="E33" s="151">
        <f t="shared" ref="E33" si="12">E21-E31</f>
        <v>12000</v>
      </c>
      <c r="F33" s="152">
        <f t="shared" ref="F33" si="13">E33/E12</f>
        <v>0.10909090909090909</v>
      </c>
      <c r="G33" s="151">
        <f t="shared" ref="G33" si="14">G21-G31</f>
        <v>10500</v>
      </c>
      <c r="H33" s="152">
        <f t="shared" ref="H33" si="15">G33/G12</f>
        <v>0.11052631578947368</v>
      </c>
      <c r="V33" s="64"/>
      <c r="W33" s="155"/>
    </row>
    <row r="34" spans="1:23">
      <c r="E34" s="24"/>
      <c r="F34" s="152"/>
      <c r="G34" s="24"/>
      <c r="H34" s="152"/>
      <c r="V34" s="56"/>
    </row>
    <row r="35" spans="1:23">
      <c r="A35" s="147"/>
      <c r="B35" s="147" t="s">
        <v>236</v>
      </c>
      <c r="C35" s="555">
        <v>1500</v>
      </c>
      <c r="E35" s="555">
        <v>2200</v>
      </c>
      <c r="F35" s="152"/>
      <c r="G35" s="555">
        <v>2000</v>
      </c>
      <c r="H35" s="152"/>
    </row>
    <row r="36" spans="1:23">
      <c r="E36" s="24"/>
      <c r="F36" s="152"/>
      <c r="G36" s="24"/>
      <c r="H36" s="152"/>
    </row>
    <row r="37" spans="1:23">
      <c r="A37" s="149" t="s">
        <v>241</v>
      </c>
      <c r="B37" s="147"/>
      <c r="C37" s="151">
        <f>C33-C35</f>
        <v>5500</v>
      </c>
      <c r="D37" s="152">
        <f>C37/C12</f>
        <v>5.5E-2</v>
      </c>
      <c r="E37" s="151">
        <f t="shared" ref="E37" si="16">E33-E35</f>
        <v>9800</v>
      </c>
      <c r="F37" s="152">
        <f t="shared" ref="F37" si="17">E37/E12</f>
        <v>8.9090909090909096E-2</v>
      </c>
      <c r="G37" s="151">
        <f t="shared" ref="G37" si="18">G33-G35</f>
        <v>8500</v>
      </c>
      <c r="H37" s="152">
        <f t="shared" ref="H37" si="19">G37/G12</f>
        <v>8.9473684210526316E-2</v>
      </c>
    </row>
    <row r="38" spans="1:23">
      <c r="E38" s="24"/>
      <c r="F38" s="152"/>
      <c r="G38" s="24"/>
      <c r="H38" s="152"/>
    </row>
    <row r="39" spans="1:23">
      <c r="A39" s="147"/>
      <c r="B39" s="147" t="s">
        <v>237</v>
      </c>
      <c r="C39" s="555">
        <v>1000</v>
      </c>
      <c r="E39" s="555">
        <v>3000</v>
      </c>
      <c r="F39" s="152"/>
      <c r="G39" s="555">
        <v>2000</v>
      </c>
      <c r="H39" s="152"/>
    </row>
    <row r="40" spans="1:23">
      <c r="A40" s="147"/>
      <c r="B40" s="147" t="s">
        <v>238</v>
      </c>
      <c r="C40" s="555">
        <v>1000</v>
      </c>
      <c r="E40" s="555">
        <v>1000</v>
      </c>
      <c r="F40" s="152"/>
      <c r="G40" s="555">
        <v>1500</v>
      </c>
      <c r="H40" s="152"/>
    </row>
    <row r="41" spans="1:23">
      <c r="A41" s="147"/>
      <c r="B41" s="149" t="s">
        <v>239</v>
      </c>
      <c r="C41" s="151">
        <f>SUM(C39:C40)</f>
        <v>2000</v>
      </c>
      <c r="D41" s="152">
        <f>C41/C12</f>
        <v>0.02</v>
      </c>
      <c r="E41" s="151">
        <f t="shared" ref="E41" si="20">SUM(E39:E40)</f>
        <v>4000</v>
      </c>
      <c r="F41" s="152">
        <f t="shared" ref="F41" si="21">E41/E12</f>
        <v>3.6363636363636362E-2</v>
      </c>
      <c r="G41" s="151">
        <f t="shared" ref="G41" si="22">SUM(G39:G40)</f>
        <v>3500</v>
      </c>
      <c r="H41" s="152">
        <f t="shared" ref="H41" si="23">G41/G12</f>
        <v>3.6842105263157891E-2</v>
      </c>
    </row>
    <row r="42" spans="1:23">
      <c r="E42" s="24"/>
      <c r="F42" s="152"/>
      <c r="G42" s="24"/>
      <c r="H42" s="152"/>
    </row>
    <row r="43" spans="1:23">
      <c r="A43" s="149" t="s">
        <v>240</v>
      </c>
      <c r="B43" s="149"/>
      <c r="C43" s="158">
        <f>C37-C41</f>
        <v>3500</v>
      </c>
      <c r="D43" s="152">
        <f>C43/C12</f>
        <v>3.5000000000000003E-2</v>
      </c>
      <c r="E43" s="151">
        <f t="shared" ref="E43" si="24">E37-E41</f>
        <v>5800</v>
      </c>
      <c r="F43" s="152">
        <f t="shared" ref="F43" si="25">E43/E12</f>
        <v>5.2727272727272727E-2</v>
      </c>
      <c r="G43" s="158">
        <f t="shared" ref="G43" si="26">G37-G41</f>
        <v>5000</v>
      </c>
      <c r="H43" s="152">
        <f t="shared" ref="H43" si="27">G43/G12</f>
        <v>5.2631578947368418E-2</v>
      </c>
    </row>
    <row r="44" spans="1:23">
      <c r="A44" s="1"/>
      <c r="B44" s="1"/>
    </row>
  </sheetData>
  <sheetProtection algorithmName="SHA-512" hashValue="9A54vjjXOs6CTDlBCiPWMQa+qlk0X08RM1ePnu5m2Np+5VZArltg2VanoAbGbMh+L5RgREbebE7HpOU6bJtsgA==" saltValue="ZhVriFKjR2YwHLrjk082kg==" spinCount="100000" sheet="1" objects="1" scenarios="1"/>
  <mergeCells count="5">
    <mergeCell ref="A2:D3"/>
    <mergeCell ref="C4:D4"/>
    <mergeCell ref="E4:F4"/>
    <mergeCell ref="G4:H4"/>
    <mergeCell ref="F2:H2"/>
  </mergeCells>
  <conditionalFormatting sqref="H43 F43 D43 H41 F41 D41 H37 F37 D37 D33 F33 H33 H21 F21 D21">
    <cfRule type="cellIs" dxfId="5" priority="1" operator="greaterThanOrEqual">
      <formula>0.025</formula>
    </cfRule>
    <cfRule type="cellIs" dxfId="4" priority="2" operator="between">
      <formula>0</formula>
      <formula>2</formula>
    </cfRule>
    <cfRule type="cellIs" dxfId="3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44"/>
  <sheetViews>
    <sheetView zoomScale="90" zoomScaleNormal="90" workbookViewId="0">
      <selection activeCell="M17" sqref="M17"/>
    </sheetView>
  </sheetViews>
  <sheetFormatPr defaultColWidth="9.1171875" defaultRowHeight="14.35"/>
  <cols>
    <col min="1" max="1" width="32.29296875" style="97" customWidth="1"/>
    <col min="2" max="2" width="27" style="97" customWidth="1"/>
    <col min="3" max="3" width="29.87890625" style="97" customWidth="1"/>
    <col min="4" max="4" width="27.5859375" style="97" customWidth="1"/>
    <col min="5" max="5" width="20.5859375" style="97" customWidth="1"/>
    <col min="6" max="6" width="32.703125" style="97" customWidth="1"/>
    <col min="7" max="7" width="25" style="97" customWidth="1"/>
    <col min="8" max="8" width="27.87890625" style="97" customWidth="1"/>
    <col min="9" max="9" width="21.41015625" style="97" customWidth="1"/>
    <col min="10" max="10" width="22.5859375" style="97" customWidth="1"/>
    <col min="11" max="16384" width="9.1171875" style="97"/>
  </cols>
  <sheetData>
    <row r="1" spans="1:11" ht="23.7" thickBot="1">
      <c r="A1" s="176" t="s">
        <v>277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59" thickBot="1">
      <c r="A2" s="214" t="s">
        <v>288</v>
      </c>
      <c r="B2" s="230" t="s">
        <v>295</v>
      </c>
      <c r="C2" s="231" t="s">
        <v>294</v>
      </c>
      <c r="D2" s="232" t="s">
        <v>300</v>
      </c>
      <c r="E2" s="233" t="s">
        <v>301</v>
      </c>
      <c r="F2" s="232" t="s">
        <v>289</v>
      </c>
      <c r="G2" s="233" t="s">
        <v>290</v>
      </c>
      <c r="H2" s="233" t="s">
        <v>292</v>
      </c>
      <c r="I2" s="233" t="s">
        <v>293</v>
      </c>
      <c r="J2" s="234" t="s">
        <v>291</v>
      </c>
      <c r="K2" s="102"/>
    </row>
    <row r="3" spans="1:11" ht="15.7">
      <c r="A3" s="228" t="s">
        <v>286</v>
      </c>
      <c r="B3" s="165"/>
      <c r="C3" s="166"/>
      <c r="D3" s="241"/>
      <c r="E3" s="242"/>
      <c r="F3" s="241"/>
      <c r="G3" s="242"/>
      <c r="H3" s="242"/>
      <c r="I3" s="242"/>
      <c r="J3" s="218"/>
      <c r="K3" s="102"/>
    </row>
    <row r="4" spans="1:11" ht="16" thickBot="1">
      <c r="A4" s="229" t="s">
        <v>287</v>
      </c>
      <c r="B4" s="167"/>
      <c r="C4" s="168"/>
      <c r="D4" s="219"/>
      <c r="E4" s="220"/>
      <c r="F4" s="219"/>
      <c r="G4" s="220"/>
      <c r="H4" s="220"/>
      <c r="I4" s="220"/>
      <c r="J4" s="168"/>
      <c r="K4" s="102"/>
    </row>
    <row r="5" spans="1:11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1" thickBot="1">
      <c r="A6" s="177" t="s">
        <v>278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>
      <c r="A7" s="216" t="s">
        <v>266</v>
      </c>
      <c r="B7" s="216" t="s">
        <v>268</v>
      </c>
      <c r="C7" s="563" t="s">
        <v>276</v>
      </c>
      <c r="D7" s="216" t="s">
        <v>269</v>
      </c>
      <c r="E7" s="216" t="s">
        <v>270</v>
      </c>
      <c r="F7" s="561" t="s">
        <v>271</v>
      </c>
      <c r="G7" s="561"/>
      <c r="H7" s="561"/>
      <c r="I7" s="561"/>
      <c r="J7" s="562"/>
      <c r="K7" s="102"/>
    </row>
    <row r="8" spans="1:11" ht="14.7" thickBot="1">
      <c r="A8" s="215"/>
      <c r="B8" s="215"/>
      <c r="C8" s="564"/>
      <c r="D8" s="215"/>
      <c r="E8" s="215"/>
      <c r="F8" s="224" t="s">
        <v>268</v>
      </c>
      <c r="G8" s="224" t="s">
        <v>272</v>
      </c>
      <c r="H8" s="224" t="s">
        <v>273</v>
      </c>
      <c r="I8" s="224" t="s">
        <v>274</v>
      </c>
      <c r="J8" s="225" t="s">
        <v>275</v>
      </c>
      <c r="K8" s="102"/>
    </row>
    <row r="9" spans="1:11">
      <c r="A9" s="216"/>
      <c r="B9" s="216"/>
      <c r="C9" s="216"/>
      <c r="D9" s="216"/>
      <c r="E9" s="216"/>
      <c r="F9" s="226"/>
      <c r="G9" s="227"/>
      <c r="H9" s="227"/>
      <c r="I9" s="227"/>
      <c r="J9" s="218"/>
      <c r="K9" s="102"/>
    </row>
    <row r="10" spans="1:11">
      <c r="A10" s="217" t="s">
        <v>267</v>
      </c>
      <c r="B10" s="169" t="s">
        <v>330</v>
      </c>
      <c r="C10" s="170"/>
      <c r="D10" s="171"/>
      <c r="E10" s="170"/>
      <c r="F10" s="172"/>
      <c r="G10" s="173"/>
      <c r="H10" s="173"/>
      <c r="I10" s="174"/>
      <c r="J10" s="166"/>
      <c r="K10" s="102"/>
    </row>
    <row r="11" spans="1:11">
      <c r="A11" s="217" t="s">
        <v>262</v>
      </c>
      <c r="B11" s="169" t="s">
        <v>331</v>
      </c>
      <c r="C11" s="170"/>
      <c r="D11" s="171"/>
      <c r="E11" s="170"/>
      <c r="F11" s="172"/>
      <c r="G11" s="173"/>
      <c r="H11" s="173"/>
      <c r="I11" s="174"/>
      <c r="J11" s="166"/>
      <c r="K11" s="102"/>
    </row>
    <row r="12" spans="1:11">
      <c r="A12" s="217" t="s">
        <v>265</v>
      </c>
      <c r="B12" s="169" t="s">
        <v>259</v>
      </c>
      <c r="C12" s="170"/>
      <c r="D12" s="171"/>
      <c r="E12" s="170"/>
      <c r="F12" s="172"/>
      <c r="G12" s="173"/>
      <c r="H12" s="173"/>
      <c r="I12" s="174"/>
      <c r="J12" s="166"/>
      <c r="K12" s="102"/>
    </row>
    <row r="13" spans="1:11">
      <c r="A13" s="217" t="s">
        <v>263</v>
      </c>
      <c r="B13" s="169" t="s">
        <v>259</v>
      </c>
      <c r="C13" s="170"/>
      <c r="D13" s="171"/>
      <c r="E13" s="170"/>
      <c r="F13" s="172"/>
      <c r="G13" s="173"/>
      <c r="H13" s="173"/>
      <c r="I13" s="174"/>
      <c r="J13" s="166"/>
      <c r="K13" s="102"/>
    </row>
    <row r="14" spans="1:11">
      <c r="A14" s="217" t="s">
        <v>264</v>
      </c>
      <c r="B14" s="169" t="s">
        <v>259</v>
      </c>
      <c r="C14" s="170"/>
      <c r="D14" s="171"/>
      <c r="E14" s="170"/>
      <c r="F14" s="172"/>
      <c r="G14" s="173"/>
      <c r="H14" s="173"/>
      <c r="I14" s="174"/>
      <c r="J14" s="166"/>
      <c r="K14" s="102"/>
    </row>
    <row r="15" spans="1:11" ht="14.7" thickBot="1">
      <c r="A15" s="215"/>
      <c r="B15" s="215"/>
      <c r="C15" s="215"/>
      <c r="D15" s="215"/>
      <c r="E15" s="215"/>
      <c r="F15" s="219"/>
      <c r="G15" s="220"/>
      <c r="H15" s="220"/>
      <c r="I15" s="220"/>
      <c r="J15" s="221"/>
      <c r="K15" s="102"/>
    </row>
    <row r="16" spans="1:11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02"/>
    </row>
    <row r="17" spans="1:13" ht="21" thickBot="1">
      <c r="A17" s="177" t="s">
        <v>334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3">
      <c r="A18" s="216" t="s">
        <v>334</v>
      </c>
      <c r="B18" s="216" t="s">
        <v>268</v>
      </c>
      <c r="C18" s="563" t="s">
        <v>276</v>
      </c>
      <c r="D18" s="216" t="s">
        <v>269</v>
      </c>
      <c r="E18" s="216" t="s">
        <v>270</v>
      </c>
      <c r="F18" s="561" t="s">
        <v>271</v>
      </c>
      <c r="G18" s="561"/>
      <c r="H18" s="561"/>
      <c r="I18" s="561"/>
      <c r="J18" s="562"/>
      <c r="K18" s="102"/>
    </row>
    <row r="19" spans="1:13" ht="14.7" thickBot="1">
      <c r="A19" s="215"/>
      <c r="B19" s="215"/>
      <c r="C19" s="564"/>
      <c r="D19" s="215"/>
      <c r="E19" s="215"/>
      <c r="F19" s="224" t="s">
        <v>268</v>
      </c>
      <c r="G19" s="224" t="s">
        <v>272</v>
      </c>
      <c r="H19" s="224" t="s">
        <v>273</v>
      </c>
      <c r="I19" s="224" t="s">
        <v>274</v>
      </c>
      <c r="J19" s="225" t="s">
        <v>275</v>
      </c>
      <c r="K19" s="102"/>
    </row>
    <row r="20" spans="1:13">
      <c r="A20" s="216"/>
      <c r="B20" s="216"/>
      <c r="C20" s="216"/>
      <c r="D20" s="216"/>
      <c r="E20" s="216"/>
      <c r="F20" s="226"/>
      <c r="G20" s="227"/>
      <c r="H20" s="227"/>
      <c r="I20" s="227"/>
      <c r="J20" s="218"/>
      <c r="K20" s="102"/>
    </row>
    <row r="21" spans="1:13">
      <c r="A21" s="217" t="s">
        <v>335</v>
      </c>
      <c r="B21" s="243" t="s">
        <v>332</v>
      </c>
      <c r="C21" s="170"/>
      <c r="D21" s="171"/>
      <c r="E21" s="170"/>
      <c r="F21" s="172"/>
      <c r="G21" s="173"/>
      <c r="H21" s="173"/>
      <c r="I21" s="174"/>
      <c r="J21" s="166"/>
      <c r="K21" s="102"/>
    </row>
    <row r="22" spans="1:13">
      <c r="A22" s="217" t="s">
        <v>336</v>
      </c>
      <c r="B22" s="243" t="s">
        <v>331</v>
      </c>
      <c r="C22" s="170"/>
      <c r="D22" s="171"/>
      <c r="E22" s="170"/>
      <c r="F22" s="172"/>
      <c r="G22" s="173"/>
      <c r="H22" s="173"/>
      <c r="I22" s="174"/>
      <c r="J22" s="166"/>
      <c r="K22" s="102"/>
    </row>
    <row r="23" spans="1:13">
      <c r="A23" s="217" t="s">
        <v>337</v>
      </c>
      <c r="B23" s="169" t="s">
        <v>259</v>
      </c>
      <c r="C23" s="170"/>
      <c r="D23" s="171"/>
      <c r="E23" s="170"/>
      <c r="F23" s="172"/>
      <c r="G23" s="173"/>
      <c r="H23" s="173"/>
      <c r="I23" s="174"/>
      <c r="J23" s="166"/>
      <c r="K23" s="102"/>
    </row>
    <row r="24" spans="1:13">
      <c r="A24" s="217" t="s">
        <v>338</v>
      </c>
      <c r="B24" s="169" t="s">
        <v>259</v>
      </c>
      <c r="C24" s="170"/>
      <c r="D24" s="171"/>
      <c r="E24" s="170"/>
      <c r="F24" s="172"/>
      <c r="G24" s="173"/>
      <c r="H24" s="173"/>
      <c r="I24" s="174"/>
      <c r="J24" s="166"/>
      <c r="K24" s="102"/>
    </row>
    <row r="25" spans="1:13">
      <c r="A25" s="217" t="s">
        <v>2</v>
      </c>
      <c r="B25" s="169" t="s">
        <v>339</v>
      </c>
      <c r="C25" s="170"/>
      <c r="D25" s="171"/>
      <c r="E25" s="170"/>
      <c r="F25" s="172"/>
      <c r="G25" s="173"/>
      <c r="H25" s="173"/>
      <c r="I25" s="174"/>
      <c r="J25" s="166"/>
      <c r="K25" s="102"/>
    </row>
    <row r="26" spans="1:13">
      <c r="A26" s="217" t="s">
        <v>3</v>
      </c>
      <c r="B26" s="169" t="s">
        <v>340</v>
      </c>
      <c r="C26" s="170"/>
      <c r="D26" s="171"/>
      <c r="E26" s="170"/>
      <c r="F26" s="172"/>
      <c r="G26" s="173"/>
      <c r="H26" s="173"/>
      <c r="I26" s="174"/>
      <c r="J26" s="166"/>
      <c r="K26" s="102"/>
    </row>
    <row r="27" spans="1:13" ht="14.7" thickBot="1">
      <c r="A27" s="215"/>
      <c r="B27" s="215"/>
      <c r="C27" s="215"/>
      <c r="D27" s="215"/>
      <c r="E27" s="215"/>
      <c r="F27" s="219"/>
      <c r="G27" s="220"/>
      <c r="H27" s="220"/>
      <c r="I27" s="220"/>
      <c r="J27" s="221"/>
      <c r="K27" s="102"/>
    </row>
    <row r="28" spans="1:13" ht="14.7" thickBot="1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3" ht="15.75" customHeight="1">
      <c r="A29" s="214" t="s">
        <v>279</v>
      </c>
      <c r="B29" s="218"/>
      <c r="C29" s="214" t="s">
        <v>347</v>
      </c>
      <c r="D29" s="216" t="s">
        <v>345</v>
      </c>
      <c r="E29" s="559" t="s">
        <v>346</v>
      </c>
      <c r="F29" s="216" t="s">
        <v>268</v>
      </c>
      <c r="G29" s="557" t="s">
        <v>276</v>
      </c>
      <c r="H29" s="216" t="s">
        <v>269</v>
      </c>
      <c r="I29" s="216" t="s">
        <v>270</v>
      </c>
      <c r="J29" s="236"/>
      <c r="K29" s="102"/>
      <c r="L29" s="213"/>
      <c r="M29" s="213"/>
    </row>
    <row r="30" spans="1:13" ht="14.7" thickBot="1">
      <c r="A30" s="217" t="s">
        <v>280</v>
      </c>
      <c r="B30" s="175" t="s">
        <v>341</v>
      </c>
      <c r="C30" s="215"/>
      <c r="D30" s="215"/>
      <c r="E30" s="560"/>
      <c r="F30" s="215"/>
      <c r="G30" s="558"/>
      <c r="H30" s="215"/>
      <c r="I30" s="215"/>
      <c r="J30" s="236"/>
      <c r="K30" s="102"/>
      <c r="L30" s="213"/>
      <c r="M30" s="213"/>
    </row>
    <row r="31" spans="1:13">
      <c r="A31" s="217" t="s">
        <v>281</v>
      </c>
      <c r="B31" s="175"/>
      <c r="C31" s="216"/>
      <c r="D31" s="216"/>
      <c r="E31" s="216"/>
      <c r="F31" s="218"/>
      <c r="G31" s="216"/>
      <c r="H31" s="216"/>
      <c r="I31" s="216"/>
      <c r="J31" s="236"/>
      <c r="K31" s="102"/>
      <c r="L31" s="213"/>
      <c r="M31" s="213"/>
    </row>
    <row r="32" spans="1:13">
      <c r="A32" s="217" t="s">
        <v>282</v>
      </c>
      <c r="B32" s="166"/>
      <c r="C32" s="217" t="s">
        <v>342</v>
      </c>
      <c r="D32" s="170"/>
      <c r="E32" s="170"/>
      <c r="F32" s="244"/>
      <c r="G32" s="170"/>
      <c r="H32" s="171"/>
      <c r="I32" s="170"/>
      <c r="J32" s="236"/>
      <c r="K32" s="102"/>
      <c r="L32" s="213"/>
      <c r="M32" s="213"/>
    </row>
    <row r="33" spans="1:13">
      <c r="A33" s="217" t="s">
        <v>283</v>
      </c>
      <c r="B33" s="166"/>
      <c r="C33" s="217" t="s">
        <v>343</v>
      </c>
      <c r="D33" s="170"/>
      <c r="E33" s="170"/>
      <c r="F33" s="244"/>
      <c r="G33" s="170"/>
      <c r="H33" s="171"/>
      <c r="I33" s="170"/>
      <c r="J33" s="236"/>
      <c r="K33" s="102"/>
      <c r="L33" s="213"/>
      <c r="M33" s="213"/>
    </row>
    <row r="34" spans="1:13">
      <c r="A34" s="223" t="s">
        <v>57</v>
      </c>
      <c r="B34" s="222" t="s">
        <v>58</v>
      </c>
      <c r="C34" s="217" t="s">
        <v>344</v>
      </c>
      <c r="D34" s="170"/>
      <c r="E34" s="170"/>
      <c r="F34" s="175"/>
      <c r="G34" s="170"/>
      <c r="H34" s="171"/>
      <c r="I34" s="170"/>
      <c r="J34" s="236"/>
      <c r="K34" s="102"/>
      <c r="L34" s="213"/>
      <c r="M34" s="213"/>
    </row>
    <row r="35" spans="1:13" ht="14.7" thickBot="1">
      <c r="A35" s="217"/>
      <c r="B35" s="222" t="s">
        <v>59</v>
      </c>
      <c r="C35" s="215"/>
      <c r="D35" s="215"/>
      <c r="E35" s="215"/>
      <c r="F35" s="237"/>
      <c r="G35" s="215"/>
      <c r="H35" s="238"/>
      <c r="I35" s="215"/>
      <c r="J35" s="236"/>
      <c r="K35" s="102"/>
      <c r="L35" s="213"/>
      <c r="M35" s="213"/>
    </row>
    <row r="36" spans="1:13">
      <c r="A36" s="217"/>
      <c r="B36" s="222" t="s">
        <v>108</v>
      </c>
      <c r="C36" s="102"/>
      <c r="D36" s="212"/>
      <c r="E36" s="212"/>
      <c r="F36" s="212"/>
      <c r="G36" s="239"/>
      <c r="H36" s="212"/>
      <c r="I36" s="240"/>
      <c r="J36" s="212"/>
      <c r="K36" s="102"/>
      <c r="L36" s="213"/>
      <c r="M36" s="213"/>
    </row>
    <row r="37" spans="1:13">
      <c r="A37" s="217"/>
      <c r="B37" s="222" t="s">
        <v>395</v>
      </c>
      <c r="C37" s="102"/>
      <c r="D37" s="212"/>
      <c r="E37" s="212"/>
      <c r="F37" s="212"/>
      <c r="G37" s="239"/>
      <c r="H37" s="212"/>
      <c r="I37" s="240"/>
      <c r="J37" s="212"/>
      <c r="K37" s="102"/>
      <c r="L37" s="213"/>
      <c r="M37" s="213"/>
    </row>
    <row r="38" spans="1:13">
      <c r="A38" s="217"/>
      <c r="B38" s="222" t="s">
        <v>396</v>
      </c>
      <c r="C38" s="102"/>
      <c r="D38" s="212"/>
      <c r="E38" s="212"/>
      <c r="F38" s="212"/>
      <c r="G38" s="212"/>
      <c r="H38" s="212"/>
      <c r="I38" s="212"/>
      <c r="J38" s="212"/>
      <c r="K38" s="102"/>
      <c r="L38" s="213"/>
      <c r="M38" s="213"/>
    </row>
    <row r="39" spans="1:13">
      <c r="A39" s="217"/>
      <c r="B39" s="222" t="s">
        <v>397</v>
      </c>
      <c r="C39" s="102"/>
      <c r="D39" s="102"/>
      <c r="E39" s="102"/>
      <c r="F39" s="102"/>
      <c r="G39" s="102"/>
      <c r="H39" s="102"/>
      <c r="I39" s="102"/>
      <c r="J39" s="102"/>
      <c r="K39" s="102"/>
    </row>
    <row r="40" spans="1:13">
      <c r="A40" s="217" t="s">
        <v>284</v>
      </c>
      <c r="B40" s="166"/>
      <c r="C40" s="102"/>
      <c r="D40" s="102"/>
      <c r="E40" s="102"/>
      <c r="F40" s="102"/>
      <c r="G40" s="102"/>
      <c r="H40" s="102"/>
      <c r="I40" s="102"/>
      <c r="J40" s="102"/>
      <c r="K40" s="102"/>
    </row>
    <row r="41" spans="1:13" ht="14.7" thickBot="1">
      <c r="A41" s="215" t="s">
        <v>285</v>
      </c>
      <c r="B41" s="168"/>
      <c r="C41" s="102"/>
      <c r="D41" s="102"/>
      <c r="E41" s="102"/>
      <c r="F41" s="102"/>
      <c r="G41" s="102"/>
      <c r="H41" s="102"/>
      <c r="I41" s="102"/>
      <c r="J41" s="102"/>
      <c r="K41" s="102"/>
    </row>
    <row r="42" spans="1:13">
      <c r="A42" s="213"/>
      <c r="B42" s="213"/>
    </row>
    <row r="43" spans="1:13">
      <c r="A43" s="213"/>
      <c r="B43" s="213"/>
    </row>
    <row r="44" spans="1:13">
      <c r="A44" s="213"/>
      <c r="B44" s="213"/>
    </row>
  </sheetData>
  <sheetProtection algorithmName="SHA-512" hashValue="peAj6bKceXIWrXrfLy8zPLueZ9Kv+HK3EwOu2HpTHnC5Q2KEGlgAN2kQyrwLFVTU6WihOmPKT625y+7+XCFDig==" saltValue="PviGRlCL8swabUcQB5FdQA==" spinCount="100000" sheet="1" objects="1" scenarios="1"/>
  <mergeCells count="6">
    <mergeCell ref="G29:G30"/>
    <mergeCell ref="E29:E30"/>
    <mergeCell ref="F7:J7"/>
    <mergeCell ref="C7:C8"/>
    <mergeCell ref="C18:C19"/>
    <mergeCell ref="F18:J18"/>
  </mergeCells>
  <pageMargins left="0.70866141732283472" right="0.70866141732283472" top="0.74803149606299213" bottom="0.74803149606299213" header="0.31496062992125984" footer="0.31496062992125984"/>
  <pageSetup paperSize="9" scale="48" orientation="landscape" verticalDpi="0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249977111117893"/>
    <pageSetUpPr fitToPage="1"/>
  </sheetPr>
  <dimension ref="A1:W44"/>
  <sheetViews>
    <sheetView zoomScaleNormal="100" workbookViewId="0">
      <selection activeCell="D11" sqref="D11"/>
    </sheetView>
  </sheetViews>
  <sheetFormatPr defaultRowHeight="14.35"/>
  <cols>
    <col min="1" max="1" width="6.5859375" customWidth="1"/>
    <col min="2" max="2" width="46.703125" customWidth="1"/>
    <col min="3" max="3" width="14.29296875" style="24" customWidth="1"/>
    <col min="4" max="4" width="14.29296875" style="152" customWidth="1"/>
    <col min="5" max="8" width="14.29296875" customWidth="1"/>
    <col min="9" max="9" width="2.703125" customWidth="1"/>
    <col min="15" max="15" width="7.87890625" customWidth="1"/>
    <col min="19" max="19" width="5.87890625" customWidth="1"/>
    <col min="20" max="20" width="29.87890625" customWidth="1"/>
  </cols>
  <sheetData>
    <row r="1" spans="1:23" ht="22.5" customHeight="1"/>
    <row r="2" spans="1:23" ht="14.7" thickBot="1">
      <c r="A2" s="570" t="s">
        <v>216</v>
      </c>
      <c r="B2" s="570"/>
      <c r="C2" s="570"/>
      <c r="D2" s="570"/>
      <c r="E2" s="161" t="s">
        <v>257</v>
      </c>
      <c r="F2" s="579" t="str">
        <f>'Balance Sheet - Stakeholder 5'!F1</f>
        <v>N/A</v>
      </c>
      <c r="G2" s="579"/>
      <c r="H2" s="579"/>
    </row>
    <row r="3" spans="1:23" ht="15" thickTop="1" thickBot="1">
      <c r="A3" s="570"/>
      <c r="B3" s="570"/>
      <c r="C3" s="570"/>
      <c r="D3" s="570"/>
      <c r="E3" s="115"/>
      <c r="G3" s="125"/>
      <c r="H3" s="115"/>
    </row>
    <row r="4" spans="1:23" ht="16" thickTop="1">
      <c r="A4" s="115"/>
      <c r="B4" s="116" t="s">
        <v>214</v>
      </c>
      <c r="C4" s="571">
        <f>'Pre-conditions'!B4-2</f>
        <v>2013</v>
      </c>
      <c r="D4" s="571"/>
      <c r="E4" s="572">
        <f>'Pre-conditions'!B4-3</f>
        <v>2012</v>
      </c>
      <c r="F4" s="572"/>
      <c r="G4" s="572">
        <f>'Pre-conditions'!B4-4</f>
        <v>2011</v>
      </c>
      <c r="H4" s="572"/>
    </row>
    <row r="6" spans="1:23">
      <c r="C6" s="24" t="s">
        <v>212</v>
      </c>
      <c r="D6" s="152" t="s">
        <v>242</v>
      </c>
      <c r="E6" s="24" t="s">
        <v>212</v>
      </c>
      <c r="F6" s="152" t="s">
        <v>242</v>
      </c>
      <c r="G6" s="24" t="s">
        <v>212</v>
      </c>
      <c r="H6" s="152" t="s">
        <v>242</v>
      </c>
    </row>
    <row r="7" spans="1:23">
      <c r="A7" s="149" t="s">
        <v>217</v>
      </c>
      <c r="B7" s="147"/>
      <c r="C7" s="150"/>
      <c r="E7" s="150"/>
      <c r="F7" s="152"/>
      <c r="G7" s="150"/>
      <c r="H7" s="152"/>
    </row>
    <row r="8" spans="1:23">
      <c r="A8" s="147"/>
      <c r="B8" s="147" t="s">
        <v>218</v>
      </c>
      <c r="C8" s="555">
        <v>100000</v>
      </c>
      <c r="E8" s="555">
        <v>110000</v>
      </c>
      <c r="F8" s="152"/>
      <c r="G8" s="555">
        <v>95000</v>
      </c>
      <c r="H8" s="152"/>
    </row>
    <row r="9" spans="1:23">
      <c r="A9" s="147"/>
      <c r="B9" s="147" t="s">
        <v>219</v>
      </c>
      <c r="C9" s="555"/>
      <c r="E9" s="555"/>
      <c r="F9" s="152"/>
      <c r="G9" s="555"/>
      <c r="H9" s="152"/>
    </row>
    <row r="10" spans="1:23">
      <c r="A10" s="147"/>
      <c r="B10" s="147" t="s">
        <v>232</v>
      </c>
      <c r="C10" s="555"/>
      <c r="E10" s="555"/>
      <c r="F10" s="152"/>
      <c r="G10" s="555"/>
      <c r="H10" s="152"/>
    </row>
    <row r="11" spans="1:23">
      <c r="A11" s="147"/>
      <c r="B11" s="147" t="s">
        <v>232</v>
      </c>
      <c r="C11" s="555"/>
      <c r="E11" s="555"/>
      <c r="F11" s="152"/>
      <c r="G11" s="555"/>
      <c r="H11" s="152"/>
      <c r="T11" t="s">
        <v>247</v>
      </c>
    </row>
    <row r="12" spans="1:23">
      <c r="A12" s="147"/>
      <c r="B12" s="149" t="s">
        <v>220</v>
      </c>
      <c r="C12" s="151">
        <f>SUM(C8:C11)</f>
        <v>100000</v>
      </c>
      <c r="E12" s="151">
        <f t="shared" ref="E12" si="0">SUM(E8:E11)</f>
        <v>110000</v>
      </c>
      <c r="F12" s="152"/>
      <c r="G12" s="151">
        <f t="shared" ref="G12" si="1">SUM(G8:G11)</f>
        <v>95000</v>
      </c>
      <c r="H12" s="152"/>
      <c r="U12" s="154">
        <f>G4</f>
        <v>2011</v>
      </c>
      <c r="V12" s="154">
        <f>E4</f>
        <v>2012</v>
      </c>
      <c r="W12" s="154">
        <f>C4</f>
        <v>2013</v>
      </c>
    </row>
    <row r="13" spans="1:23">
      <c r="E13" s="24"/>
      <c r="F13" s="152"/>
      <c r="G13" s="24"/>
      <c r="H13" s="152"/>
      <c r="T13" t="str">
        <f>A21</f>
        <v>Gross Profit</v>
      </c>
      <c r="U13" s="157">
        <f>H21</f>
        <v>0.15789473684210525</v>
      </c>
      <c r="V13" s="157">
        <f>F21</f>
        <v>0.16363636363636364</v>
      </c>
      <c r="W13" s="157">
        <f>D21</f>
        <v>0.12</v>
      </c>
    </row>
    <row r="14" spans="1:23">
      <c r="A14" s="149" t="s">
        <v>221</v>
      </c>
      <c r="B14" s="147"/>
      <c r="C14" s="150"/>
      <c r="E14" s="150"/>
      <c r="F14" s="152"/>
      <c r="G14" s="150"/>
      <c r="H14" s="152"/>
      <c r="T14" t="str">
        <f>A33</f>
        <v>Operating profit / EBIDA</v>
      </c>
      <c r="U14" s="157">
        <f>H33</f>
        <v>0.11052631578947368</v>
      </c>
      <c r="V14" s="157">
        <f>F33</f>
        <v>0.10909090909090909</v>
      </c>
      <c r="W14" s="157">
        <f>D33</f>
        <v>7.0000000000000007E-2</v>
      </c>
    </row>
    <row r="15" spans="1:23">
      <c r="A15" s="147"/>
      <c r="B15" s="147" t="s">
        <v>234</v>
      </c>
      <c r="C15" s="555">
        <v>88000</v>
      </c>
      <c r="E15" s="555">
        <v>92000</v>
      </c>
      <c r="F15" s="152"/>
      <c r="G15" s="555">
        <v>80000</v>
      </c>
      <c r="H15" s="152"/>
      <c r="T15" t="str">
        <f>A37</f>
        <v>Earnings before tax / EBIT / PBIT</v>
      </c>
      <c r="U15" s="157">
        <f>H37</f>
        <v>8.9473684210526316E-2</v>
      </c>
      <c r="V15" s="157">
        <f>F37</f>
        <v>8.9090909090909096E-2</v>
      </c>
      <c r="W15" s="157">
        <f>D37</f>
        <v>5.5E-2</v>
      </c>
    </row>
    <row r="16" spans="1:23">
      <c r="A16" s="147"/>
      <c r="B16" s="147" t="s">
        <v>226</v>
      </c>
      <c r="C16" s="555"/>
      <c r="E16" s="555"/>
      <c r="F16" s="152"/>
      <c r="G16" s="555"/>
      <c r="H16" s="152"/>
      <c r="T16" t="str">
        <f>B41</f>
        <v>Financial Expenses</v>
      </c>
      <c r="U16" s="157">
        <f>H41</f>
        <v>3.6842105263157891E-2</v>
      </c>
      <c r="V16" s="157">
        <f>F41</f>
        <v>3.6363636363636362E-2</v>
      </c>
      <c r="W16" s="157">
        <f>D41</f>
        <v>0.02</v>
      </c>
    </row>
    <row r="17" spans="1:23">
      <c r="A17" s="147"/>
      <c r="B17" s="147" t="s">
        <v>227</v>
      </c>
      <c r="C17" s="555"/>
      <c r="E17" s="555"/>
      <c r="F17" s="152"/>
      <c r="G17" s="555"/>
      <c r="H17" s="152"/>
      <c r="T17" t="str">
        <f>A43</f>
        <v>Net income / Net profit</v>
      </c>
      <c r="U17" s="157">
        <f>H43</f>
        <v>5.2631578947368418E-2</v>
      </c>
      <c r="V17" s="157">
        <f>F43</f>
        <v>5.2727272727272727E-2</v>
      </c>
      <c r="W17" s="157">
        <f>D43</f>
        <v>3.5000000000000003E-2</v>
      </c>
    </row>
    <row r="18" spans="1:23">
      <c r="A18" s="147"/>
      <c r="B18" s="147" t="s">
        <v>228</v>
      </c>
      <c r="C18" s="555"/>
      <c r="E18" s="555"/>
      <c r="F18" s="152"/>
      <c r="G18" s="555"/>
      <c r="H18" s="152"/>
    </row>
    <row r="19" spans="1:23">
      <c r="A19" s="147"/>
      <c r="B19" s="147" t="s">
        <v>228</v>
      </c>
      <c r="C19" s="555"/>
      <c r="E19" s="555"/>
      <c r="F19" s="152"/>
      <c r="G19" s="555"/>
      <c r="H19" s="152"/>
    </row>
    <row r="20" spans="1:23">
      <c r="A20" s="147"/>
      <c r="B20" s="149" t="s">
        <v>229</v>
      </c>
      <c r="C20" s="151">
        <f>SUM(C15:C19)</f>
        <v>88000</v>
      </c>
      <c r="E20" s="151">
        <f t="shared" ref="E20" si="2">SUM(E15:E19)</f>
        <v>92000</v>
      </c>
      <c r="F20" s="152"/>
      <c r="G20" s="151">
        <f t="shared" ref="G20" si="3">SUM(G15:G19)</f>
        <v>80000</v>
      </c>
      <c r="H20" s="152"/>
    </row>
    <row r="21" spans="1:23">
      <c r="A21" s="149" t="s">
        <v>235</v>
      </c>
      <c r="B21" s="149"/>
      <c r="C21" s="151">
        <f>C12-C20</f>
        <v>12000</v>
      </c>
      <c r="D21" s="152">
        <f>C21/C12</f>
        <v>0.12</v>
      </c>
      <c r="E21" s="151">
        <f t="shared" ref="E21" si="4">E12-E20</f>
        <v>18000</v>
      </c>
      <c r="F21" s="152">
        <f t="shared" ref="F21" si="5">E21/E12</f>
        <v>0.16363636363636364</v>
      </c>
      <c r="G21" s="151">
        <f t="shared" ref="G21" si="6">G12-G20</f>
        <v>15000</v>
      </c>
      <c r="H21" s="152">
        <f t="shared" ref="H21" si="7">G21/G12</f>
        <v>0.15789473684210525</v>
      </c>
    </row>
    <row r="22" spans="1:23">
      <c r="E22" s="24"/>
      <c r="F22" s="152"/>
      <c r="G22" s="24"/>
      <c r="H22" s="152"/>
    </row>
    <row r="23" spans="1:23">
      <c r="A23" s="146" t="s">
        <v>222</v>
      </c>
      <c r="B23" s="147"/>
      <c r="C23" s="150"/>
      <c r="E23" s="150"/>
      <c r="F23" s="152"/>
      <c r="G23" s="150"/>
      <c r="H23" s="152"/>
      <c r="T23" t="s">
        <v>248</v>
      </c>
    </row>
    <row r="24" spans="1:23">
      <c r="A24" s="147"/>
      <c r="B24" s="147" t="s">
        <v>223</v>
      </c>
      <c r="C24" s="555"/>
      <c r="E24" s="555"/>
      <c r="F24" s="152"/>
      <c r="G24" s="555"/>
      <c r="H24" s="152"/>
      <c r="U24" s="156">
        <f>U12</f>
        <v>2011</v>
      </c>
      <c r="V24" s="156">
        <f t="shared" ref="V24:W24" si="8">V12</f>
        <v>2012</v>
      </c>
      <c r="W24" s="156">
        <f t="shared" si="8"/>
        <v>2013</v>
      </c>
    </row>
    <row r="25" spans="1:23">
      <c r="A25" s="147"/>
      <c r="B25" s="147" t="s">
        <v>224</v>
      </c>
      <c r="C25" s="555">
        <v>5000</v>
      </c>
      <c r="E25" s="555">
        <v>6000</v>
      </c>
      <c r="F25" s="152"/>
      <c r="G25" s="555">
        <v>4500</v>
      </c>
      <c r="H25" s="152"/>
      <c r="T25" s="156" t="str">
        <f>T13</f>
        <v>Gross Profit</v>
      </c>
      <c r="V25" s="56">
        <f>-(G21-E21)/G21</f>
        <v>0.2</v>
      </c>
      <c r="W25" s="56">
        <f>-(E21-C21)/E21</f>
        <v>-0.33333333333333331</v>
      </c>
    </row>
    <row r="26" spans="1:23">
      <c r="A26" s="147"/>
      <c r="B26" s="147" t="s">
        <v>225</v>
      </c>
      <c r="C26" s="555"/>
      <c r="E26" s="555"/>
      <c r="F26" s="152"/>
      <c r="G26" s="555"/>
      <c r="H26" s="152"/>
      <c r="T26" s="156" t="str">
        <f t="shared" ref="T26:T29" si="9">T14</f>
        <v>Operating profit / EBIDA</v>
      </c>
      <c r="V26" s="56">
        <f>-(G33-E33)/G33</f>
        <v>0.14285714285714285</v>
      </c>
      <c r="W26" s="56">
        <f>-(E33-C33)/E33</f>
        <v>-0.41666666666666669</v>
      </c>
    </row>
    <row r="27" spans="1:23">
      <c r="A27" s="147"/>
      <c r="B27" s="147" t="s">
        <v>231</v>
      </c>
      <c r="C27" s="555"/>
      <c r="E27" s="555"/>
      <c r="F27" s="152"/>
      <c r="G27" s="555"/>
      <c r="H27" s="152"/>
      <c r="T27" s="156" t="str">
        <f t="shared" si="9"/>
        <v>Earnings before tax / EBIT / PBIT</v>
      </c>
      <c r="V27" s="56">
        <f>-(G37-E37)/G37</f>
        <v>0.15294117647058825</v>
      </c>
      <c r="W27" s="56">
        <f>-(E37-C37)/E37</f>
        <v>-0.43877551020408162</v>
      </c>
    </row>
    <row r="28" spans="1:23">
      <c r="A28" s="147"/>
      <c r="B28" s="147" t="s">
        <v>233</v>
      </c>
      <c r="C28" s="555"/>
      <c r="E28" s="555"/>
      <c r="F28" s="152"/>
      <c r="G28" s="555"/>
      <c r="H28" s="152"/>
      <c r="T28" s="156" t="str">
        <f t="shared" si="9"/>
        <v>Financial Expenses</v>
      </c>
      <c r="V28" s="56">
        <f>-(G41-E41)/G41</f>
        <v>0.14285714285714285</v>
      </c>
      <c r="W28" s="56">
        <f>-(E41-C41)/E41</f>
        <v>-0.5</v>
      </c>
    </row>
    <row r="29" spans="1:23">
      <c r="A29" s="147"/>
      <c r="B29" s="147" t="s">
        <v>228</v>
      </c>
      <c r="C29" s="555"/>
      <c r="E29" s="555"/>
      <c r="F29" s="152"/>
      <c r="G29" s="555"/>
      <c r="H29" s="152"/>
      <c r="T29" s="156" t="str">
        <f t="shared" si="9"/>
        <v>Net income / Net profit</v>
      </c>
      <c r="V29" s="56">
        <f>-(G43-E43)/G43</f>
        <v>0.16</v>
      </c>
      <c r="W29" s="56">
        <f>(E43-C43)/E43</f>
        <v>0.39655172413793105</v>
      </c>
    </row>
    <row r="30" spans="1:23">
      <c r="A30" s="147"/>
      <c r="B30" s="147" t="s">
        <v>228</v>
      </c>
      <c r="C30" s="555"/>
      <c r="E30" s="555"/>
      <c r="F30" s="152"/>
      <c r="G30" s="555"/>
      <c r="H30" s="152"/>
    </row>
    <row r="31" spans="1:23">
      <c r="A31" s="147"/>
      <c r="B31" s="149" t="s">
        <v>230</v>
      </c>
      <c r="C31" s="151">
        <f>SUM(C24:C30)</f>
        <v>5000</v>
      </c>
      <c r="E31" s="151">
        <f t="shared" ref="E31" si="10">SUM(E24:E30)</f>
        <v>6000</v>
      </c>
      <c r="F31" s="152"/>
      <c r="G31" s="151">
        <f t="shared" ref="G31" si="11">SUM(G24:G30)</f>
        <v>4500</v>
      </c>
      <c r="H31" s="152"/>
    </row>
    <row r="32" spans="1:23">
      <c r="E32" s="24"/>
      <c r="F32" s="152"/>
      <c r="G32" s="24"/>
      <c r="H32" s="152"/>
      <c r="V32" s="155"/>
    </row>
    <row r="33" spans="1:23">
      <c r="A33" s="149" t="s">
        <v>246</v>
      </c>
      <c r="B33" s="147"/>
      <c r="C33" s="151">
        <f>C21-C31</f>
        <v>7000</v>
      </c>
      <c r="D33" s="152">
        <f>C33/C12</f>
        <v>7.0000000000000007E-2</v>
      </c>
      <c r="E33" s="151">
        <f t="shared" ref="E33" si="12">E21-E31</f>
        <v>12000</v>
      </c>
      <c r="F33" s="152">
        <f t="shared" ref="F33" si="13">E33/E12</f>
        <v>0.10909090909090909</v>
      </c>
      <c r="G33" s="151">
        <f t="shared" ref="G33" si="14">G21-G31</f>
        <v>10500</v>
      </c>
      <c r="H33" s="152">
        <f t="shared" ref="H33" si="15">G33/G12</f>
        <v>0.11052631578947368</v>
      </c>
      <c r="V33" s="64"/>
      <c r="W33" s="155"/>
    </row>
    <row r="34" spans="1:23">
      <c r="E34" s="24"/>
      <c r="F34" s="152"/>
      <c r="G34" s="24"/>
      <c r="H34" s="152"/>
      <c r="V34" s="56"/>
    </row>
    <row r="35" spans="1:23">
      <c r="A35" s="147"/>
      <c r="B35" s="147" t="s">
        <v>236</v>
      </c>
      <c r="C35" s="555">
        <v>1500</v>
      </c>
      <c r="E35" s="555">
        <v>2200</v>
      </c>
      <c r="F35" s="152"/>
      <c r="G35" s="555">
        <v>2000</v>
      </c>
      <c r="H35" s="152"/>
    </row>
    <row r="36" spans="1:23">
      <c r="E36" s="24"/>
      <c r="F36" s="152"/>
      <c r="G36" s="24"/>
      <c r="H36" s="152"/>
    </row>
    <row r="37" spans="1:23">
      <c r="A37" s="149" t="s">
        <v>241</v>
      </c>
      <c r="B37" s="147"/>
      <c r="C37" s="151">
        <f>C33-C35</f>
        <v>5500</v>
      </c>
      <c r="D37" s="152">
        <f>C37/C12</f>
        <v>5.5E-2</v>
      </c>
      <c r="E37" s="151">
        <f t="shared" ref="E37" si="16">E33-E35</f>
        <v>9800</v>
      </c>
      <c r="F37" s="152">
        <f t="shared" ref="F37" si="17">E37/E12</f>
        <v>8.9090909090909096E-2</v>
      </c>
      <c r="G37" s="151">
        <f t="shared" ref="G37" si="18">G33-G35</f>
        <v>8500</v>
      </c>
      <c r="H37" s="152">
        <f t="shared" ref="H37" si="19">G37/G12</f>
        <v>8.9473684210526316E-2</v>
      </c>
    </row>
    <row r="38" spans="1:23">
      <c r="E38" s="24"/>
      <c r="F38" s="152"/>
      <c r="G38" s="24"/>
      <c r="H38" s="152"/>
    </row>
    <row r="39" spans="1:23">
      <c r="A39" s="147"/>
      <c r="B39" s="147" t="s">
        <v>237</v>
      </c>
      <c r="C39" s="555">
        <v>1000</v>
      </c>
      <c r="E39" s="555">
        <v>3000</v>
      </c>
      <c r="F39" s="152"/>
      <c r="G39" s="555">
        <v>2000</v>
      </c>
      <c r="H39" s="152"/>
    </row>
    <row r="40" spans="1:23">
      <c r="A40" s="147"/>
      <c r="B40" s="147" t="s">
        <v>238</v>
      </c>
      <c r="C40" s="555">
        <v>1000</v>
      </c>
      <c r="E40" s="555">
        <v>1000</v>
      </c>
      <c r="F40" s="152"/>
      <c r="G40" s="555">
        <v>1500</v>
      </c>
      <c r="H40" s="152"/>
    </row>
    <row r="41" spans="1:23">
      <c r="A41" s="147"/>
      <c r="B41" s="149" t="s">
        <v>239</v>
      </c>
      <c r="C41" s="151">
        <f>SUM(C39:C40)</f>
        <v>2000</v>
      </c>
      <c r="D41" s="152">
        <f>C41/C12</f>
        <v>0.02</v>
      </c>
      <c r="E41" s="151">
        <f t="shared" ref="E41" si="20">SUM(E39:E40)</f>
        <v>4000</v>
      </c>
      <c r="F41" s="152">
        <f t="shared" ref="F41" si="21">E41/E12</f>
        <v>3.6363636363636362E-2</v>
      </c>
      <c r="G41" s="151">
        <f t="shared" ref="G41" si="22">SUM(G39:G40)</f>
        <v>3500</v>
      </c>
      <c r="H41" s="152">
        <f t="shared" ref="H41" si="23">G41/G12</f>
        <v>3.6842105263157891E-2</v>
      </c>
    </row>
    <row r="42" spans="1:23">
      <c r="E42" s="24"/>
      <c r="F42" s="152"/>
      <c r="G42" s="24"/>
      <c r="H42" s="152"/>
    </row>
    <row r="43" spans="1:23">
      <c r="A43" s="149" t="s">
        <v>240</v>
      </c>
      <c r="B43" s="149"/>
      <c r="C43" s="158">
        <f>C37-C41</f>
        <v>3500</v>
      </c>
      <c r="D43" s="152">
        <f>C43/C12</f>
        <v>3.5000000000000003E-2</v>
      </c>
      <c r="E43" s="151">
        <f t="shared" ref="E43" si="24">E37-E41</f>
        <v>5800</v>
      </c>
      <c r="F43" s="152">
        <f t="shared" ref="F43" si="25">E43/E12</f>
        <v>5.2727272727272727E-2</v>
      </c>
      <c r="G43" s="158">
        <f t="shared" ref="G43" si="26">G37-G41</f>
        <v>5000</v>
      </c>
      <c r="H43" s="152">
        <f t="shared" ref="H43" si="27">G43/G12</f>
        <v>5.2631578947368418E-2</v>
      </c>
    </row>
    <row r="44" spans="1:23">
      <c r="A44" s="1"/>
      <c r="B44" s="1"/>
    </row>
  </sheetData>
  <sheetProtection algorithmName="SHA-512" hashValue="4xUEHe1/E+pozVIY+CoqxkL2lJS+ZiRbuf7LYUbKeFIdYLTbctr3lKlNl74mG4dsPiguPKVJNFRgYNBVdeW9sQ==" saltValue="HnzPQPOFThxER9Tu1qIWEw==" spinCount="100000" sheet="1" objects="1" scenarios="1"/>
  <mergeCells count="5">
    <mergeCell ref="A2:D3"/>
    <mergeCell ref="C4:D4"/>
    <mergeCell ref="E4:F4"/>
    <mergeCell ref="G4:H4"/>
    <mergeCell ref="F2:H2"/>
  </mergeCells>
  <conditionalFormatting sqref="H43 F43 D43 H41 F41 D41 H37 F37 D37 D33 F33 H33 H21 F21 D21">
    <cfRule type="cellIs" dxfId="2" priority="1" operator="greaterThanOrEqual">
      <formula>0.025</formula>
    </cfRule>
    <cfRule type="cellIs" dxfId="1" priority="2" operator="between">
      <formula>0</formula>
      <formula>2</formula>
    </cfRule>
    <cfRule type="cellIs" dxfId="0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>
    <pageSetUpPr fitToPage="1"/>
  </sheetPr>
  <dimension ref="A1:AI25"/>
  <sheetViews>
    <sheetView topLeftCell="E1" workbookViewId="0">
      <selection activeCell="Q13" sqref="Q13"/>
    </sheetView>
  </sheetViews>
  <sheetFormatPr defaultRowHeight="14.35"/>
  <cols>
    <col min="1" max="1" width="8.29296875" customWidth="1"/>
    <col min="4" max="4" width="9.87890625" customWidth="1"/>
    <col min="5" max="5" width="43" customWidth="1"/>
    <col min="6" max="6" width="9.703125" customWidth="1"/>
    <col min="7" max="8" width="6.5859375" customWidth="1"/>
    <col min="9" max="9" width="6.41015625" customWidth="1"/>
    <col min="10" max="16" width="6.5859375" customWidth="1"/>
    <col min="17" max="17" width="7.29296875" customWidth="1"/>
    <col min="18" max="35" width="6.5859375" customWidth="1"/>
  </cols>
  <sheetData>
    <row r="1" spans="1:35">
      <c r="A1" t="str">
        <f>Income!B8</f>
        <v>Unit</v>
      </c>
      <c r="B1" t="str">
        <f>Income!C8</f>
        <v xml:space="preserve">NPV </v>
      </c>
      <c r="C1" t="str">
        <f>Income!D8</f>
        <v>NPV</v>
      </c>
      <c r="D1" t="str">
        <f>Income!E8</f>
        <v>Total</v>
      </c>
      <c r="F1">
        <f>Income!F8</f>
        <v>2015</v>
      </c>
      <c r="G1">
        <f>Income!G8</f>
        <v>2016</v>
      </c>
      <c r="H1">
        <f>Income!H8</f>
        <v>2017</v>
      </c>
      <c r="I1">
        <f>Income!I8</f>
        <v>2018</v>
      </c>
      <c r="J1">
        <f>Income!J8</f>
        <v>2019</v>
      </c>
      <c r="K1">
        <f>Income!K8</f>
        <v>2020</v>
      </c>
      <c r="L1">
        <f>Income!L8</f>
        <v>2021</v>
      </c>
      <c r="M1">
        <f>Income!M8</f>
        <v>2022</v>
      </c>
      <c r="N1">
        <f>Income!N8</f>
        <v>2023</v>
      </c>
      <c r="O1">
        <f>Income!O8</f>
        <v>2024</v>
      </c>
      <c r="P1">
        <f>Income!P8</f>
        <v>2025</v>
      </c>
      <c r="Q1">
        <f>Income!Q8</f>
        <v>2026</v>
      </c>
      <c r="R1">
        <f>Income!R8</f>
        <v>2027</v>
      </c>
      <c r="S1">
        <f>Income!S8</f>
        <v>2028</v>
      </c>
      <c r="T1">
        <f>Income!T8</f>
        <v>2029</v>
      </c>
      <c r="U1">
        <f>Income!U8</f>
        <v>2030</v>
      </c>
      <c r="V1">
        <f>Income!V8</f>
        <v>2031</v>
      </c>
      <c r="W1">
        <f>Income!W8</f>
        <v>2032</v>
      </c>
      <c r="X1">
        <f>Income!X8</f>
        <v>2033</v>
      </c>
      <c r="Y1">
        <f>Income!Y8</f>
        <v>2034</v>
      </c>
      <c r="Z1">
        <f>Income!Z8</f>
        <v>2035</v>
      </c>
      <c r="AA1">
        <f>Income!AA8</f>
        <v>2036</v>
      </c>
      <c r="AB1">
        <f>Income!AB8</f>
        <v>2037</v>
      </c>
      <c r="AC1">
        <f>Income!AC8</f>
        <v>2038</v>
      </c>
      <c r="AD1">
        <f>Income!AD8</f>
        <v>2039</v>
      </c>
      <c r="AE1">
        <f>Income!AE8</f>
        <v>2040</v>
      </c>
      <c r="AF1">
        <f>Income!AF8</f>
        <v>2041</v>
      </c>
      <c r="AG1">
        <f>Income!AG8</f>
        <v>2042</v>
      </c>
      <c r="AH1">
        <f>Income!AH8</f>
        <v>2043</v>
      </c>
      <c r="AI1">
        <f>Income!AI8</f>
        <v>2044</v>
      </c>
    </row>
    <row r="2" spans="1:35">
      <c r="F2">
        <f>F1-'Pre-conditions'!$B$5+1</f>
        <v>-2</v>
      </c>
      <c r="G2">
        <f>G1-'Pre-conditions'!$B$5+1</f>
        <v>-1</v>
      </c>
      <c r="H2">
        <f>H1-'Pre-conditions'!$B$5+1</f>
        <v>0</v>
      </c>
      <c r="I2">
        <f>I1-'Pre-conditions'!$B$5+1</f>
        <v>1</v>
      </c>
      <c r="J2">
        <f>J1-'Pre-conditions'!$B$5+1</f>
        <v>2</v>
      </c>
      <c r="K2">
        <f>K1-'Pre-conditions'!$B$5+1</f>
        <v>3</v>
      </c>
      <c r="L2">
        <f>L1-'Pre-conditions'!$B$5+1</f>
        <v>4</v>
      </c>
      <c r="M2">
        <f>M1-'Pre-conditions'!$B$5+1</f>
        <v>5</v>
      </c>
      <c r="N2">
        <f>N1-'Pre-conditions'!$B$5+1</f>
        <v>6</v>
      </c>
      <c r="O2">
        <f>O1-'Pre-conditions'!$B$5+1</f>
        <v>7</v>
      </c>
      <c r="P2">
        <f>P1-'Pre-conditions'!$B$5+1</f>
        <v>8</v>
      </c>
      <c r="Q2">
        <f>Q1-'Pre-conditions'!$B$5+1</f>
        <v>9</v>
      </c>
      <c r="R2">
        <f>R1-'Pre-conditions'!$B$5+1</f>
        <v>10</v>
      </c>
      <c r="S2">
        <f>S1-'Pre-conditions'!$B$5+1</f>
        <v>11</v>
      </c>
      <c r="T2">
        <f>T1-'Pre-conditions'!$B$5+1</f>
        <v>12</v>
      </c>
      <c r="U2">
        <f>U1-'Pre-conditions'!$B$5+1</f>
        <v>13</v>
      </c>
      <c r="V2">
        <f>V1-'Pre-conditions'!$B$5+1</f>
        <v>14</v>
      </c>
      <c r="W2">
        <f>W1-'Pre-conditions'!$B$5+1</f>
        <v>15</v>
      </c>
      <c r="X2">
        <f>X1-'Pre-conditions'!$B$5+1</f>
        <v>16</v>
      </c>
      <c r="Y2">
        <f>Y1-'Pre-conditions'!$B$5+1</f>
        <v>17</v>
      </c>
      <c r="Z2">
        <f>Z1-'Pre-conditions'!$B$5+1</f>
        <v>18</v>
      </c>
      <c r="AA2">
        <f>AA1-'Pre-conditions'!$B$5+1</f>
        <v>19</v>
      </c>
      <c r="AB2">
        <f>AB1-'Pre-conditions'!$B$5+1</f>
        <v>20</v>
      </c>
      <c r="AC2">
        <f>AC1-'Pre-conditions'!$B$5+1</f>
        <v>21</v>
      </c>
      <c r="AD2">
        <f>AD1-'Pre-conditions'!$B$5+1</f>
        <v>22</v>
      </c>
      <c r="AE2">
        <f>AE1-'Pre-conditions'!$B$5+1</f>
        <v>23</v>
      </c>
      <c r="AF2">
        <f>AF1-'Pre-conditions'!$B$5+1</f>
        <v>24</v>
      </c>
      <c r="AG2">
        <f>AG1-'Pre-conditions'!$B$5+1</f>
        <v>25</v>
      </c>
      <c r="AH2">
        <f>AH1-'Pre-conditions'!$B$5+1</f>
        <v>26</v>
      </c>
      <c r="AI2">
        <f>AI1-'Pre-conditions'!$B$5+1</f>
        <v>27</v>
      </c>
    </row>
    <row r="3" spans="1:35">
      <c r="A3" t="str">
        <f>Income!B35</f>
        <v>mio US$</v>
      </c>
      <c r="B3" s="64">
        <f>Income!C35</f>
        <v>41.162961589096888</v>
      </c>
      <c r="C3" s="64">
        <f>Income!D35</f>
        <v>42.209465793429331</v>
      </c>
      <c r="D3" s="64">
        <f>Income!E35</f>
        <v>93.458860000000016</v>
      </c>
      <c r="E3" t="str">
        <f>Income!A35</f>
        <v>Total Annual Energy Income</v>
      </c>
      <c r="F3" s="64">
        <f>Income!F35</f>
        <v>0</v>
      </c>
      <c r="G3" s="64">
        <f>Income!G35</f>
        <v>0</v>
      </c>
      <c r="H3" s="64">
        <f>Income!H35</f>
        <v>0</v>
      </c>
      <c r="I3" s="64">
        <f>Income!I35</f>
        <v>5.1350199999999999</v>
      </c>
      <c r="J3" s="64">
        <f>Income!J35</f>
        <v>4.9947699999999999</v>
      </c>
      <c r="K3" s="64">
        <f>Income!K35</f>
        <v>4.9947699999999999</v>
      </c>
      <c r="L3" s="64">
        <f>Income!L35</f>
        <v>4.9947699999999999</v>
      </c>
      <c r="M3" s="64">
        <f>Income!M35</f>
        <v>4.9947699999999999</v>
      </c>
      <c r="N3" s="64">
        <f>Income!N35</f>
        <v>4.9947699999999999</v>
      </c>
      <c r="O3" s="64">
        <f>Income!O35</f>
        <v>4.9947699999999999</v>
      </c>
      <c r="P3" s="64">
        <f>Income!P35</f>
        <v>2.9177610000000005</v>
      </c>
      <c r="Q3" s="64">
        <f>Income!Q35</f>
        <v>2.9177610000000005</v>
      </c>
      <c r="R3" s="64">
        <f>Income!R35</f>
        <v>2.9177610000000005</v>
      </c>
      <c r="S3" s="64">
        <f>Income!S35</f>
        <v>2.9177610000000005</v>
      </c>
      <c r="T3" s="64">
        <f>Income!T35</f>
        <v>2.9177610000000005</v>
      </c>
      <c r="U3" s="64">
        <f>Income!U35</f>
        <v>2.9177610000000005</v>
      </c>
      <c r="V3" s="64">
        <f>Income!V35</f>
        <v>2.9177610000000005</v>
      </c>
      <c r="W3" s="64">
        <f>Income!W35</f>
        <v>2.9177610000000005</v>
      </c>
      <c r="X3" s="64">
        <f>Income!X35</f>
        <v>2.9177610000000005</v>
      </c>
      <c r="Y3" s="64">
        <f>Income!Y35</f>
        <v>2.9177610000000005</v>
      </c>
      <c r="Z3" s="64">
        <f>Income!Z35</f>
        <v>2.9177610000000005</v>
      </c>
      <c r="AA3" s="64">
        <f>Income!AA35</f>
        <v>2.9177610000000005</v>
      </c>
      <c r="AB3" s="64">
        <f>Income!AB35</f>
        <v>2.9177610000000005</v>
      </c>
      <c r="AC3" s="64">
        <f>Income!AC35</f>
        <v>2.9177610000000005</v>
      </c>
      <c r="AD3" s="64">
        <f>Income!AD35</f>
        <v>2.9177610000000005</v>
      </c>
      <c r="AE3" s="64">
        <f>Income!AE35</f>
        <v>2.9177610000000005</v>
      </c>
      <c r="AF3" s="64">
        <f>Income!AF35</f>
        <v>2.9177610000000005</v>
      </c>
      <c r="AG3" s="64">
        <f>Income!AG35</f>
        <v>2.9177610000000005</v>
      </c>
      <c r="AH3" s="64">
        <f>Income!AH35</f>
        <v>2.9177610000000005</v>
      </c>
      <c r="AI3" s="64">
        <f>Income!AI35</f>
        <v>2.9177610000000005</v>
      </c>
    </row>
    <row r="4" spans="1:35">
      <c r="A4" t="str">
        <f>Income!B53</f>
        <v>mio US$</v>
      </c>
      <c r="B4" s="64">
        <f>Income!C53</f>
        <v>25.7077091146841</v>
      </c>
      <c r="C4" s="64">
        <f>Income!D53</f>
        <v>26.014641405876077</v>
      </c>
      <c r="D4" s="64">
        <f>Income!E53</f>
        <v>56.297679886638477</v>
      </c>
      <c r="E4" t="str">
        <f>Income!A53</f>
        <v>Total Annual Costs</v>
      </c>
      <c r="F4" s="64">
        <f>Income!F53</f>
        <v>0.1275</v>
      </c>
      <c r="G4" s="64">
        <f>Income!G53</f>
        <v>0.13068749999999998</v>
      </c>
      <c r="H4" s="64">
        <f>Income!H53</f>
        <v>0.31955468749999999</v>
      </c>
      <c r="I4" s="64">
        <f>Income!I53</f>
        <v>3.1494385546875003</v>
      </c>
      <c r="J4" s="64">
        <f>Income!J53</f>
        <v>2.6476548935546877</v>
      </c>
      <c r="K4" s="64">
        <f>Income!K53</f>
        <v>2.6688412658935547</v>
      </c>
      <c r="L4" s="64">
        <f>Income!L53</f>
        <v>2.6852197975408933</v>
      </c>
      <c r="M4" s="64">
        <f>Income!M53</f>
        <v>2.6867977924794157</v>
      </c>
      <c r="N4" s="64">
        <f>Income!N53</f>
        <v>2.6944327372914008</v>
      </c>
      <c r="O4" s="64">
        <f>Income!O53</f>
        <v>2.4476823057236858</v>
      </c>
      <c r="P4" s="64">
        <f>Income!P53</f>
        <v>2.2795043633667782</v>
      </c>
      <c r="Q4" s="64">
        <f>Income!Q53</f>
        <v>2.3010569724509473</v>
      </c>
      <c r="R4" s="64">
        <f>Income!R53</f>
        <v>2.3085483967622213</v>
      </c>
      <c r="S4" s="64">
        <f>Income!S53</f>
        <v>2.3229871066812766</v>
      </c>
      <c r="T4" s="64">
        <f>Income!T53</f>
        <v>2.3433817843483085</v>
      </c>
      <c r="U4" s="64">
        <f>Income!U53</f>
        <v>2.358941328957016</v>
      </c>
      <c r="V4" s="64">
        <f>Income!V53</f>
        <v>2.3696748621809416</v>
      </c>
      <c r="W4" s="64">
        <f>Income!W53</f>
        <v>2.3855917337354651</v>
      </c>
      <c r="X4" s="64">
        <f>Income!X53</f>
        <v>2.3957015270788515</v>
      </c>
      <c r="Y4" s="64">
        <f>Income!Y53</f>
        <v>1.7110140652558228</v>
      </c>
      <c r="Z4" s="64">
        <f>Income!Z53</f>
        <v>1.7349394168872181</v>
      </c>
      <c r="AA4" s="64">
        <f>Income!AA53</f>
        <v>1.7452879023093986</v>
      </c>
      <c r="AB4" s="64">
        <f>Income!AB53</f>
        <v>1.7630700998671336</v>
      </c>
      <c r="AC4" s="64">
        <f>Income!AC53</f>
        <v>1.787296852363812</v>
      </c>
      <c r="AD4" s="64">
        <f>Income!AD53</f>
        <v>1.275979273672907</v>
      </c>
      <c r="AE4" s="64">
        <f>Income!AE53</f>
        <v>1.2951287555147297</v>
      </c>
      <c r="AF4" s="64">
        <f>Income!AF53</f>
        <v>1.314756974402598</v>
      </c>
      <c r="AG4" s="64">
        <f>Income!AG53</f>
        <v>1.3348758987626628</v>
      </c>
      <c r="AH4" s="64">
        <f>Income!AH53</f>
        <v>0.84549779623172938</v>
      </c>
      <c r="AI4" s="64">
        <f>Income!AI53</f>
        <v>0.86663524113752244</v>
      </c>
    </row>
    <row r="5" spans="1:35">
      <c r="A5" t="str">
        <f>Income!B56</f>
        <v>mio US$</v>
      </c>
      <c r="B5" s="64">
        <f>Income!C56</f>
        <v>0</v>
      </c>
      <c r="C5" s="64">
        <f>Income!D56</f>
        <v>16.194824387553265</v>
      </c>
      <c r="D5" s="64">
        <f>Income!E56</f>
        <v>37.161180113361539</v>
      </c>
      <c r="E5" t="str">
        <f>Income!A56</f>
        <v>Annual Gross revenue from project</v>
      </c>
      <c r="F5" s="64">
        <f>Income!F56</f>
        <v>-0.1275</v>
      </c>
      <c r="G5" s="64">
        <f>Income!G56</f>
        <v>-0.13068749999999998</v>
      </c>
      <c r="H5" s="64">
        <f>Income!H56</f>
        <v>-0.31955468749999999</v>
      </c>
      <c r="I5" s="64">
        <f>Income!I56</f>
        <v>1.9855814453124996</v>
      </c>
      <c r="J5" s="64">
        <f>Income!J56</f>
        <v>2.3471151064453122</v>
      </c>
      <c r="K5" s="64">
        <f>Income!K56</f>
        <v>2.3259287341064452</v>
      </c>
      <c r="L5" s="64">
        <f>Income!L56</f>
        <v>2.3095502024591066</v>
      </c>
      <c r="M5" s="64">
        <f>Income!M56</f>
        <v>2.3079722075205842</v>
      </c>
      <c r="N5" s="64">
        <f>Income!N56</f>
        <v>2.3003372627085992</v>
      </c>
      <c r="O5" s="64">
        <f>Income!O56</f>
        <v>2.5470876942763141</v>
      </c>
      <c r="P5" s="64">
        <f>Income!P56</f>
        <v>0.6382566366332223</v>
      </c>
      <c r="Q5" s="64">
        <f>Income!Q56</f>
        <v>0.61670402754905318</v>
      </c>
      <c r="R5" s="64">
        <f>Income!R56</f>
        <v>0.60921260323777915</v>
      </c>
      <c r="S5" s="64">
        <f>Income!S56</f>
        <v>0.59477389331872388</v>
      </c>
      <c r="T5" s="64">
        <f>Income!T56</f>
        <v>0.57437921565169203</v>
      </c>
      <c r="U5" s="64">
        <f>Income!U56</f>
        <v>0.55881967104298447</v>
      </c>
      <c r="V5" s="64">
        <f>Income!V56</f>
        <v>0.54808613781905891</v>
      </c>
      <c r="W5" s="64">
        <f>Income!W56</f>
        <v>0.53216926626453542</v>
      </c>
      <c r="X5" s="64">
        <f>Income!X56</f>
        <v>0.52205947292114896</v>
      </c>
      <c r="Y5" s="64">
        <f>Income!Y56</f>
        <v>1.2067469347441777</v>
      </c>
      <c r="Z5" s="64">
        <f>Income!Z56</f>
        <v>1.1828215831127824</v>
      </c>
      <c r="AA5" s="64">
        <f>Income!AA56</f>
        <v>1.1724730976906019</v>
      </c>
      <c r="AB5" s="64">
        <f>Income!AB56</f>
        <v>1.1546909001328669</v>
      </c>
      <c r="AC5" s="80">
        <f>Income!AC56</f>
        <v>1.1304641476361885</v>
      </c>
      <c r="AD5" s="75">
        <f>Income!AD56</f>
        <v>1.6417817263270935</v>
      </c>
      <c r="AE5" s="64">
        <f>Income!AE56</f>
        <v>1.6226322444852708</v>
      </c>
      <c r="AF5" s="64">
        <f>Income!AF56</f>
        <v>1.6030040255974025</v>
      </c>
      <c r="AG5" s="64">
        <f>Income!AG56</f>
        <v>1.5828851012373377</v>
      </c>
      <c r="AH5" s="64">
        <f>Income!AH56</f>
        <v>2.0722632037682711</v>
      </c>
      <c r="AI5" s="64">
        <f>Income!AI56</f>
        <v>2.0511257588624781</v>
      </c>
    </row>
    <row r="6" spans="1:35">
      <c r="B6" s="64"/>
      <c r="C6" s="64"/>
      <c r="D6" s="64"/>
      <c r="E6" t="str">
        <f>Financing!A33</f>
        <v>Investment (Excl. Interest during construction)</v>
      </c>
      <c r="F6" s="64">
        <f>-Financing!I33</f>
        <v>-7.2675999999999989</v>
      </c>
      <c r="G6" s="64">
        <f>-Financing!J33</f>
        <v>-7.4080000000000004</v>
      </c>
      <c r="H6" s="64">
        <f>-Financing!K33</f>
        <v>-4.66</v>
      </c>
      <c r="I6" s="64">
        <f>-Financing!L33</f>
        <v>0</v>
      </c>
      <c r="J6" s="64">
        <f>-Financing!M33</f>
        <v>0</v>
      </c>
      <c r="K6" s="64">
        <f>-Financing!N33</f>
        <v>0</v>
      </c>
      <c r="L6" s="64">
        <f>-Financing!O33</f>
        <v>0</v>
      </c>
      <c r="M6" s="64">
        <f>-Financing!P33</f>
        <v>0</v>
      </c>
      <c r="N6" s="64">
        <f>-Financing!Q33</f>
        <v>0</v>
      </c>
      <c r="O6" s="64">
        <f>-Financing!R33</f>
        <v>0</v>
      </c>
      <c r="P6" s="64">
        <f>-Financing!S33</f>
        <v>0</v>
      </c>
      <c r="Q6" s="64">
        <f>-Financing!T33</f>
        <v>0</v>
      </c>
      <c r="R6" s="64">
        <f>-Financing!U33</f>
        <v>0</v>
      </c>
      <c r="S6" s="64">
        <f>-Financing!V33</f>
        <v>0</v>
      </c>
      <c r="T6" s="64">
        <f>-Financing!W33</f>
        <v>0</v>
      </c>
      <c r="U6" s="64">
        <f>-Financing!X33</f>
        <v>0</v>
      </c>
      <c r="V6" s="64">
        <f>-Financing!Y33</f>
        <v>0</v>
      </c>
      <c r="W6" s="64">
        <f>-Financing!Z33</f>
        <v>0</v>
      </c>
      <c r="X6" s="64">
        <f>-Financing!AA33</f>
        <v>0</v>
      </c>
      <c r="Y6" s="64">
        <f>-Financing!AB33</f>
        <v>0</v>
      </c>
      <c r="Z6" s="64">
        <f>-Financing!AC33</f>
        <v>0</v>
      </c>
      <c r="AA6" s="64">
        <f>-Financing!AD33</f>
        <v>0</v>
      </c>
      <c r="AB6" s="64">
        <f>-Financing!AE33</f>
        <v>0</v>
      </c>
      <c r="AC6" s="64">
        <f>-Financing!AF33</f>
        <v>0</v>
      </c>
      <c r="AD6" s="64">
        <f>-Financing!AG33</f>
        <v>0</v>
      </c>
      <c r="AE6" s="64">
        <f>-Financing!AH33</f>
        <v>0</v>
      </c>
      <c r="AF6" s="64">
        <f>-Financing!AI33</f>
        <v>0</v>
      </c>
      <c r="AG6" s="64">
        <f>-Financing!AJ33</f>
        <v>0</v>
      </c>
      <c r="AH6" s="64">
        <f>-Financing!AK33</f>
        <v>0</v>
      </c>
      <c r="AI6" s="64">
        <f>-Financing!AL33</f>
        <v>0</v>
      </c>
    </row>
    <row r="7" spans="1:35">
      <c r="B7" s="64"/>
      <c r="C7" s="64"/>
      <c r="D7" s="64"/>
      <c r="E7" t="s">
        <v>124</v>
      </c>
      <c r="F7" s="64">
        <f>F5</f>
        <v>-0.1275</v>
      </c>
      <c r="G7" s="64">
        <f t="shared" ref="G7:AI7" si="0">F7+G5</f>
        <v>-0.25818750000000001</v>
      </c>
      <c r="H7" s="64">
        <f t="shared" si="0"/>
        <v>-0.57774218749999995</v>
      </c>
      <c r="I7" s="64">
        <f t="shared" si="0"/>
        <v>1.4078392578124996</v>
      </c>
      <c r="J7" s="64">
        <f t="shared" si="0"/>
        <v>3.754954364257812</v>
      </c>
      <c r="K7" s="64">
        <f t="shared" si="0"/>
        <v>6.0808830983642572</v>
      </c>
      <c r="L7" s="64">
        <f t="shared" si="0"/>
        <v>8.3904333008233642</v>
      </c>
      <c r="M7" s="64">
        <f t="shared" si="0"/>
        <v>10.698405508343949</v>
      </c>
      <c r="N7" s="64">
        <f t="shared" si="0"/>
        <v>12.998742771052548</v>
      </c>
      <c r="O7" s="64">
        <f t="shared" si="0"/>
        <v>15.545830465328862</v>
      </c>
      <c r="P7" s="64">
        <f t="shared" si="0"/>
        <v>16.184087101962085</v>
      </c>
      <c r="Q7" s="64">
        <f t="shared" si="0"/>
        <v>16.80079112951114</v>
      </c>
      <c r="R7" s="64">
        <f t="shared" si="0"/>
        <v>17.410003732748919</v>
      </c>
      <c r="S7" s="64">
        <f t="shared" si="0"/>
        <v>18.004777626067643</v>
      </c>
      <c r="T7" s="64">
        <f t="shared" si="0"/>
        <v>18.579156841719335</v>
      </c>
      <c r="U7" s="64">
        <f t="shared" si="0"/>
        <v>19.137976512762322</v>
      </c>
      <c r="V7" s="64">
        <f t="shared" si="0"/>
        <v>19.68606265058138</v>
      </c>
      <c r="W7" s="64">
        <f t="shared" si="0"/>
        <v>20.218231916845916</v>
      </c>
      <c r="X7" s="64">
        <f t="shared" si="0"/>
        <v>20.740291389767066</v>
      </c>
      <c r="Y7" s="64">
        <f t="shared" si="0"/>
        <v>21.947038324511244</v>
      </c>
      <c r="Z7" s="64">
        <f t="shared" si="0"/>
        <v>23.129859907624027</v>
      </c>
      <c r="AA7" s="64">
        <f t="shared" si="0"/>
        <v>24.30233300531463</v>
      </c>
      <c r="AB7" s="64">
        <f t="shared" si="0"/>
        <v>25.457023905447496</v>
      </c>
      <c r="AC7" s="64">
        <f t="shared" si="0"/>
        <v>26.587488053083685</v>
      </c>
      <c r="AD7" s="64">
        <f t="shared" si="0"/>
        <v>28.229269779410778</v>
      </c>
      <c r="AE7" s="64">
        <f t="shared" si="0"/>
        <v>29.851902023896049</v>
      </c>
      <c r="AF7" s="64">
        <f t="shared" si="0"/>
        <v>31.454906049493452</v>
      </c>
      <c r="AG7" s="64">
        <f t="shared" si="0"/>
        <v>33.03779115073079</v>
      </c>
      <c r="AH7" s="64">
        <f t="shared" si="0"/>
        <v>35.110054354499063</v>
      </c>
      <c r="AI7" s="64">
        <f t="shared" si="0"/>
        <v>37.161180113361539</v>
      </c>
    </row>
    <row r="8" spans="1:35">
      <c r="B8" s="64">
        <f>Income!C57</f>
        <v>15.455252474412795</v>
      </c>
      <c r="C8" s="64"/>
      <c r="D8" s="64"/>
      <c r="E8" t="s">
        <v>296</v>
      </c>
      <c r="F8" s="64">
        <f>-F10+F5</f>
        <v>-7.3950999999999993</v>
      </c>
      <c r="G8" s="64">
        <f>-G10+G5+F8</f>
        <v>-14.933787499999999</v>
      </c>
      <c r="H8" s="64">
        <f t="shared" ref="H8:AI8" si="1">-H10+H5+G8</f>
        <v>-19.9133421875</v>
      </c>
      <c r="I8" s="64">
        <f t="shared" si="1"/>
        <v>-17.927760742187502</v>
      </c>
      <c r="J8" s="64">
        <f t="shared" si="1"/>
        <v>-15.58064563574219</v>
      </c>
      <c r="K8" s="64">
        <f t="shared" si="1"/>
        <v>-13.254716901635746</v>
      </c>
      <c r="L8" s="64">
        <f t="shared" si="1"/>
        <v>-10.945166699176639</v>
      </c>
      <c r="M8" s="64">
        <f t="shared" si="1"/>
        <v>-8.6371944916560537</v>
      </c>
      <c r="N8" s="64">
        <f t="shared" si="1"/>
        <v>-6.336857228947455</v>
      </c>
      <c r="O8" s="64">
        <f t="shared" si="1"/>
        <v>-3.7897695346711409</v>
      </c>
      <c r="P8" s="64">
        <f t="shared" si="1"/>
        <v>-3.1515128980379186</v>
      </c>
      <c r="Q8" s="64">
        <f t="shared" si="1"/>
        <v>-2.5348088704888654</v>
      </c>
      <c r="R8" s="64">
        <f t="shared" si="1"/>
        <v>-1.9255962672510862</v>
      </c>
      <c r="S8" s="64">
        <f t="shared" si="1"/>
        <v>-1.3308223739323624</v>
      </c>
      <c r="T8" s="64">
        <f t="shared" si="1"/>
        <v>-0.75644315828067032</v>
      </c>
      <c r="U8" s="64">
        <f t="shared" si="1"/>
        <v>-0.19762348723768586</v>
      </c>
      <c r="V8" s="64">
        <f t="shared" si="1"/>
        <v>0.35046265058137305</v>
      </c>
      <c r="W8" s="64">
        <f t="shared" si="1"/>
        <v>0.88263191684590847</v>
      </c>
      <c r="X8" s="64">
        <f t="shared" si="1"/>
        <v>1.4046913897670574</v>
      </c>
      <c r="Y8" s="64">
        <f t="shared" si="1"/>
        <v>2.6114383245112354</v>
      </c>
      <c r="Z8" s="64">
        <f t="shared" si="1"/>
        <v>3.794259907624018</v>
      </c>
      <c r="AA8" s="64">
        <f t="shared" si="1"/>
        <v>4.9667330053146195</v>
      </c>
      <c r="AB8" s="64">
        <f t="shared" si="1"/>
        <v>6.1214239054474859</v>
      </c>
      <c r="AC8" s="64">
        <f t="shared" si="1"/>
        <v>7.2518880530836745</v>
      </c>
      <c r="AD8" s="64">
        <f t="shared" si="1"/>
        <v>8.893669779410768</v>
      </c>
      <c r="AE8" s="64">
        <f t="shared" si="1"/>
        <v>10.516302023896039</v>
      </c>
      <c r="AF8" s="64">
        <f t="shared" si="1"/>
        <v>12.11930604949344</v>
      </c>
      <c r="AG8" s="64">
        <f t="shared" si="1"/>
        <v>13.702191150730778</v>
      </c>
      <c r="AH8" s="64">
        <f t="shared" si="1"/>
        <v>15.774454354499049</v>
      </c>
      <c r="AI8" s="64">
        <f t="shared" si="1"/>
        <v>17.825580113361529</v>
      </c>
    </row>
    <row r="10" spans="1:35">
      <c r="E10" t="s">
        <v>150</v>
      </c>
      <c r="F10" s="64">
        <f>Financing!I33</f>
        <v>7.2675999999999989</v>
      </c>
      <c r="G10" s="64">
        <f>Financing!J33</f>
        <v>7.4080000000000004</v>
      </c>
      <c r="H10" s="64">
        <f>Financing!K33</f>
        <v>4.66</v>
      </c>
      <c r="I10" s="64">
        <f>Financing!L33</f>
        <v>0</v>
      </c>
      <c r="J10" s="64">
        <f>Financing!M33</f>
        <v>0</v>
      </c>
      <c r="K10" s="64">
        <f>Financing!N33</f>
        <v>0</v>
      </c>
      <c r="L10" s="64">
        <f>Financing!O33</f>
        <v>0</v>
      </c>
      <c r="M10" s="64">
        <f>Financing!P33</f>
        <v>0</v>
      </c>
      <c r="N10" s="64">
        <f>Financing!Q33</f>
        <v>0</v>
      </c>
      <c r="O10" s="64">
        <f>Financing!R33</f>
        <v>0</v>
      </c>
      <c r="P10" s="64">
        <f>Financing!S33</f>
        <v>0</v>
      </c>
      <c r="Q10" s="64">
        <f>Financing!T33</f>
        <v>0</v>
      </c>
      <c r="R10" s="64">
        <f>Financing!U33</f>
        <v>0</v>
      </c>
      <c r="S10" s="64">
        <f>Financing!V33</f>
        <v>0</v>
      </c>
      <c r="T10" s="64">
        <f>Financing!W33</f>
        <v>0</v>
      </c>
      <c r="U10" s="64">
        <f>Financing!X33</f>
        <v>0</v>
      </c>
      <c r="V10" s="64">
        <f>Financing!Y33</f>
        <v>0</v>
      </c>
      <c r="W10" s="64">
        <f>Financing!Z33</f>
        <v>0</v>
      </c>
      <c r="X10" s="64">
        <f>Financing!AA33</f>
        <v>0</v>
      </c>
      <c r="Y10" s="64">
        <f>Financing!AB33</f>
        <v>0</v>
      </c>
      <c r="Z10" s="64">
        <f>Financing!AC33</f>
        <v>0</v>
      </c>
      <c r="AA10" s="64">
        <f>Financing!AD33</f>
        <v>0</v>
      </c>
      <c r="AB10" s="64">
        <f>Financing!AE33</f>
        <v>0</v>
      </c>
      <c r="AC10" s="64">
        <f>Financing!AF33</f>
        <v>0</v>
      </c>
      <c r="AD10" s="64">
        <f>Financing!AG33</f>
        <v>0</v>
      </c>
      <c r="AE10" s="64">
        <f>Financing!AH33</f>
        <v>0</v>
      </c>
      <c r="AF10" s="64">
        <f>Financing!AI33</f>
        <v>0</v>
      </c>
      <c r="AG10" s="64">
        <f>Financing!AJ33</f>
        <v>0</v>
      </c>
      <c r="AH10" s="64">
        <f>Financing!AK33</f>
        <v>0</v>
      </c>
      <c r="AI10" s="64">
        <f>Financing!AL33</f>
        <v>0</v>
      </c>
    </row>
    <row r="12" spans="1:35">
      <c r="E12" t="s">
        <v>131</v>
      </c>
      <c r="F12" t="e">
        <f ca="1">Lockup(0,F8:AI8,(F2:AI2)-(I8:AI8/I5:AI5))</f>
        <v>#NAME?</v>
      </c>
    </row>
    <row r="14" spans="1:35">
      <c r="E14" t="s">
        <v>151</v>
      </c>
      <c r="F14">
        <f>COUNTIF(F8:AI8,"&lt;0")</f>
        <v>16</v>
      </c>
    </row>
    <row r="15" spans="1:35">
      <c r="E15" t="s">
        <v>152</v>
      </c>
      <c r="F15">
        <f>INDEX(F2:AI2,,COUNTIF(F8:AI8,"&lt;0"))</f>
        <v>13</v>
      </c>
    </row>
    <row r="17" spans="5:35">
      <c r="E17" s="81" t="s">
        <v>154</v>
      </c>
      <c r="F17" s="82">
        <f>IF(F10&gt;0,0,F8/F5)</f>
        <v>0</v>
      </c>
      <c r="G17" s="82">
        <f t="shared" ref="G17:AI17" si="2">IF(G10&gt;0,0,G8/G5)</f>
        <v>0</v>
      </c>
      <c r="H17" s="82">
        <f>IF(H10&gt;0,0,H8/H5)</f>
        <v>0</v>
      </c>
      <c r="I17" s="82">
        <f t="shared" si="2"/>
        <v>-9.0289727397034323</v>
      </c>
      <c r="J17" s="82">
        <f t="shared" si="2"/>
        <v>-6.6382111354304048</v>
      </c>
      <c r="K17" s="82">
        <f t="shared" si="2"/>
        <v>-5.6986771379854106</v>
      </c>
      <c r="L17" s="82">
        <f t="shared" si="2"/>
        <v>-4.739090186272076</v>
      </c>
      <c r="M17" s="82">
        <f t="shared" si="2"/>
        <v>-3.7423303727451929</v>
      </c>
      <c r="N17" s="82">
        <f t="shared" si="2"/>
        <v>-2.7547513713210634</v>
      </c>
      <c r="O17" s="82">
        <f t="shared" si="2"/>
        <v>-1.487883414138947</v>
      </c>
      <c r="P17" s="82">
        <f>IF(P10&gt;0,0,P8/P5)</f>
        <v>-4.9376891945252934</v>
      </c>
      <c r="Q17" s="82">
        <f t="shared" si="2"/>
        <v>-4.1102518505722658</v>
      </c>
      <c r="R17" s="82">
        <f t="shared" si="2"/>
        <v>-3.1607951920513946</v>
      </c>
      <c r="S17" s="82">
        <f t="shared" si="2"/>
        <v>-2.2375265439218079</v>
      </c>
      <c r="T17" s="82">
        <f t="shared" si="2"/>
        <v>-1.3169751579928046</v>
      </c>
      <c r="U17" s="82">
        <f t="shared" si="2"/>
        <v>-0.35364447151411144</v>
      </c>
      <c r="V17" s="82">
        <f t="shared" si="2"/>
        <v>0.63942987497536785</v>
      </c>
      <c r="W17" s="82">
        <f t="shared" si="2"/>
        <v>1.6585548486130763</v>
      </c>
      <c r="X17" s="82">
        <f t="shared" si="2"/>
        <v>2.6906731179633625</v>
      </c>
      <c r="Y17" s="82">
        <f t="shared" si="2"/>
        <v>2.1640314545856647</v>
      </c>
      <c r="Z17" s="82">
        <f t="shared" si="2"/>
        <v>3.2078040862585731</v>
      </c>
      <c r="AA17" s="82">
        <f t="shared" si="2"/>
        <v>4.2361168158975238</v>
      </c>
      <c r="AB17" s="82">
        <f t="shared" si="2"/>
        <v>5.3013528596640986</v>
      </c>
      <c r="AC17" s="83">
        <f t="shared" si="2"/>
        <v>6.4149650992890335</v>
      </c>
      <c r="AD17" s="82">
        <f t="shared" si="2"/>
        <v>5.4170841572875901</v>
      </c>
      <c r="AE17" s="82">
        <f t="shared" si="2"/>
        <v>6.4810138339337673</v>
      </c>
      <c r="AF17" s="82">
        <f t="shared" si="2"/>
        <v>7.560371562371377</v>
      </c>
      <c r="AG17" s="82">
        <f t="shared" si="2"/>
        <v>8.6564660568349563</v>
      </c>
      <c r="AH17" s="82">
        <f t="shared" si="2"/>
        <v>7.6121866787067711</v>
      </c>
      <c r="AI17" s="84">
        <f t="shared" si="2"/>
        <v>8.690632466751973</v>
      </c>
    </row>
    <row r="18" spans="5:35">
      <c r="E18" s="85"/>
      <c r="F18" s="86">
        <f>IF(F17&gt;0,F2,0)</f>
        <v>0</v>
      </c>
      <c r="G18" s="86">
        <f t="shared" ref="G18:AI18" si="3">IF(G17&gt;0,G2,0)</f>
        <v>0</v>
      </c>
      <c r="H18" s="86">
        <f t="shared" si="3"/>
        <v>0</v>
      </c>
      <c r="I18" s="86">
        <f t="shared" si="3"/>
        <v>0</v>
      </c>
      <c r="J18" s="86">
        <f t="shared" si="3"/>
        <v>0</v>
      </c>
      <c r="K18" s="86">
        <f t="shared" si="3"/>
        <v>0</v>
      </c>
      <c r="L18" s="86">
        <f t="shared" si="3"/>
        <v>0</v>
      </c>
      <c r="M18" s="86">
        <f t="shared" si="3"/>
        <v>0</v>
      </c>
      <c r="N18" s="86">
        <f t="shared" si="3"/>
        <v>0</v>
      </c>
      <c r="O18" s="86">
        <f t="shared" si="3"/>
        <v>0</v>
      </c>
      <c r="P18" s="86">
        <f t="shared" si="3"/>
        <v>0</v>
      </c>
      <c r="Q18" s="86">
        <f t="shared" si="3"/>
        <v>0</v>
      </c>
      <c r="R18" s="86">
        <f t="shared" si="3"/>
        <v>0</v>
      </c>
      <c r="S18" s="86">
        <f t="shared" si="3"/>
        <v>0</v>
      </c>
      <c r="T18" s="86">
        <f t="shared" si="3"/>
        <v>0</v>
      </c>
      <c r="U18" s="86">
        <f t="shared" si="3"/>
        <v>0</v>
      </c>
      <c r="V18" s="86">
        <f t="shared" si="3"/>
        <v>14</v>
      </c>
      <c r="W18" s="86">
        <f t="shared" si="3"/>
        <v>15</v>
      </c>
      <c r="X18" s="86">
        <f t="shared" si="3"/>
        <v>16</v>
      </c>
      <c r="Y18" s="86">
        <f t="shared" si="3"/>
        <v>17</v>
      </c>
      <c r="Z18" s="86">
        <f t="shared" si="3"/>
        <v>18</v>
      </c>
      <c r="AA18" s="86">
        <f t="shared" si="3"/>
        <v>19</v>
      </c>
      <c r="AB18" s="86">
        <f t="shared" si="3"/>
        <v>20</v>
      </c>
      <c r="AC18" s="86">
        <f t="shared" si="3"/>
        <v>21</v>
      </c>
      <c r="AD18" s="86">
        <f t="shared" si="3"/>
        <v>22</v>
      </c>
      <c r="AE18" s="86">
        <f t="shared" si="3"/>
        <v>23</v>
      </c>
      <c r="AF18" s="86">
        <f t="shared" si="3"/>
        <v>24</v>
      </c>
      <c r="AG18" s="86">
        <f t="shared" si="3"/>
        <v>25</v>
      </c>
      <c r="AH18" s="86">
        <f t="shared" si="3"/>
        <v>26</v>
      </c>
      <c r="AI18" s="87">
        <f t="shared" si="3"/>
        <v>27</v>
      </c>
    </row>
    <row r="19" spans="5:35"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</row>
    <row r="20" spans="5:35">
      <c r="E20" s="85" t="s">
        <v>155</v>
      </c>
      <c r="F20" s="86">
        <f>IF(F17&gt;0,F18,0)</f>
        <v>0</v>
      </c>
      <c r="G20" s="86">
        <f>IF(SUM($F$20:F20)&gt;0,0,IF(G17&gt;0,G18,0))</f>
        <v>0</v>
      </c>
      <c r="H20" s="86">
        <f>IF(SUM($F$20:G20)&gt;0,0,IF(H17&gt;0,H18,0))</f>
        <v>0</v>
      </c>
      <c r="I20" s="86">
        <f>IF(SUM($F$20:H20)&gt;0,0,IF(I17&gt;0,I18,0))</f>
        <v>0</v>
      </c>
      <c r="J20" s="86">
        <f>IF(SUM($F$20:I20)&gt;0,0,IF(J17&gt;0,J18,0))</f>
        <v>0</v>
      </c>
      <c r="K20" s="86">
        <f>IF(SUM($F$20:J20)&gt;0,0,IF(K17&gt;0,K18,0))</f>
        <v>0</v>
      </c>
      <c r="L20" s="86">
        <f>IF(SUM($F$20:K20)&gt;0,0,IF(L17&gt;0,L18,0))</f>
        <v>0</v>
      </c>
      <c r="M20" s="86">
        <f>IF(SUM($F$20:L20)&gt;0,0,IF(M17&gt;0,M18,0))</f>
        <v>0</v>
      </c>
      <c r="N20" s="86">
        <f>IF(SUM($F$20:M20)&gt;0,0,IF(N17&gt;0,N18,0))</f>
        <v>0</v>
      </c>
      <c r="O20" s="86">
        <f>IF(SUM($F$20:N20)&gt;0,0,IF(O17&gt;0,O18,0))</f>
        <v>0</v>
      </c>
      <c r="P20" s="86">
        <f>IF(SUM($F$20:O20)&gt;0,0,IF(P17&gt;0,P18,0))</f>
        <v>0</v>
      </c>
      <c r="Q20" s="86">
        <f>IF(SUM($F$20:P20)&gt;0,0,IF(Q17&gt;0,Q18,0))</f>
        <v>0</v>
      </c>
      <c r="R20" s="86">
        <f>IF(SUM($F$20:Q20)&gt;0,0,IF(R17&gt;0,R18,0))</f>
        <v>0</v>
      </c>
      <c r="S20" s="86">
        <f>IF(SUM($F$20:R20)&gt;0,0,IF(S17&gt;0,S18,0))</f>
        <v>0</v>
      </c>
      <c r="T20" s="86">
        <f>IF(SUM($F$20:S20)&gt;0,0,IF(T17&gt;0,T18,0))</f>
        <v>0</v>
      </c>
      <c r="U20" s="86">
        <f>IF(SUM($F$20:T20)&gt;0,0,IF(U17&gt;0,U18,0))</f>
        <v>0</v>
      </c>
      <c r="V20" s="86">
        <f>IF(SUM($F$20:U20)&gt;0,0,IF(V17&gt;0,V18,0))</f>
        <v>14</v>
      </c>
      <c r="W20" s="86">
        <f>IF(SUM($F$20:V20)&gt;0,0,IF(W17&gt;0,W18,0))</f>
        <v>0</v>
      </c>
      <c r="X20" s="86">
        <f>IF(SUM($F$20:W20)&gt;0,0,IF(X17&gt;0,X18,0))</f>
        <v>0</v>
      </c>
      <c r="Y20" s="86">
        <f>IF(SUM($F$20:X20)&gt;0,0,IF(Y17&gt;0,Y18,0))</f>
        <v>0</v>
      </c>
      <c r="Z20" s="86">
        <f>IF(SUM($F$20:Y20)&gt;0,0,IF(Z17&gt;0,Z18,0))</f>
        <v>0</v>
      </c>
      <c r="AA20" s="86">
        <f>IF(SUM($F$20:Z20)&gt;0,0,IF(AA17&gt;0,AA18,0))</f>
        <v>0</v>
      </c>
      <c r="AB20" s="86">
        <f>IF(SUM($F$20:AA20)&gt;0,0,IF(AB17&gt;0,AB18,0))</f>
        <v>0</v>
      </c>
      <c r="AC20" s="86">
        <f>IF(SUM($F$20:AB20)&gt;0,0,IF(AC17&gt;0,AC18,0))</f>
        <v>0</v>
      </c>
      <c r="AD20" s="86">
        <f>IF(SUM($F$20:AC20)&gt;0,0,IF(AD17&gt;0,AD18,0))</f>
        <v>0</v>
      </c>
      <c r="AE20" s="86">
        <f>IF(SUM($F$20:AD20)&gt;0,0,IF(AE17&gt;0,AE18,0))</f>
        <v>0</v>
      </c>
      <c r="AF20" s="86">
        <f>IF(SUM($F$20:AE20)&gt;0,0,IF(AF17&gt;0,AF18,0))</f>
        <v>0</v>
      </c>
      <c r="AG20" s="86">
        <f>IF(SUM($F$20:AF20)&gt;0,0,IF(AG17&gt;0,AG18,0))</f>
        <v>0</v>
      </c>
      <c r="AH20" s="86">
        <f>IF(SUM($F$20:AG20)&gt;0,0,IF(AH17&gt;0,AH18,0))</f>
        <v>0</v>
      </c>
      <c r="AI20" s="87">
        <f>IF(SUM($F$20:AH20)&gt;0,0,IF(AI17&gt;0,AI18,0))</f>
        <v>0</v>
      </c>
    </row>
    <row r="21" spans="5:35">
      <c r="E21" s="85"/>
      <c r="F21" s="86">
        <f>IF(F20=0,0,F5/E17)</f>
        <v>0</v>
      </c>
      <c r="G21" s="86">
        <f t="shared" ref="G21:AI21" si="4">IF(G20=0,0,G5/F17)</f>
        <v>0</v>
      </c>
      <c r="H21" s="86">
        <f t="shared" si="4"/>
        <v>0</v>
      </c>
      <c r="I21" s="86">
        <f>IF(I20=0,0,I5/H17)</f>
        <v>0</v>
      </c>
      <c r="J21" s="86">
        <f t="shared" si="4"/>
        <v>0</v>
      </c>
      <c r="K21" s="86">
        <f t="shared" si="4"/>
        <v>0</v>
      </c>
      <c r="L21" s="86">
        <f t="shared" si="4"/>
        <v>0</v>
      </c>
      <c r="M21" s="86">
        <f t="shared" si="4"/>
        <v>0</v>
      </c>
      <c r="N21" s="86">
        <f t="shared" si="4"/>
        <v>0</v>
      </c>
      <c r="O21" s="86">
        <f t="shared" si="4"/>
        <v>0</v>
      </c>
      <c r="P21" s="86">
        <f t="shared" si="4"/>
        <v>0</v>
      </c>
      <c r="Q21" s="86">
        <f t="shared" si="4"/>
        <v>0</v>
      </c>
      <c r="R21" s="86">
        <f t="shared" si="4"/>
        <v>0</v>
      </c>
      <c r="S21" s="86">
        <f t="shared" si="4"/>
        <v>0</v>
      </c>
      <c r="T21" s="86">
        <f t="shared" si="4"/>
        <v>0</v>
      </c>
      <c r="U21" s="86">
        <f t="shared" si="4"/>
        <v>0</v>
      </c>
      <c r="V21" s="86">
        <f t="shared" si="4"/>
        <v>-1.549822440239077</v>
      </c>
      <c r="W21" s="86">
        <f t="shared" si="4"/>
        <v>0</v>
      </c>
      <c r="X21" s="86">
        <f t="shared" si="4"/>
        <v>0</v>
      </c>
      <c r="Y21" s="86">
        <f t="shared" si="4"/>
        <v>0</v>
      </c>
      <c r="Z21" s="86">
        <f t="shared" si="4"/>
        <v>0</v>
      </c>
      <c r="AA21" s="86">
        <f t="shared" si="4"/>
        <v>0</v>
      </c>
      <c r="AB21" s="86">
        <f t="shared" si="4"/>
        <v>0</v>
      </c>
      <c r="AC21" s="86">
        <f t="shared" si="4"/>
        <v>0</v>
      </c>
      <c r="AD21" s="86">
        <f t="shared" si="4"/>
        <v>0</v>
      </c>
      <c r="AE21" s="86">
        <f t="shared" si="4"/>
        <v>0</v>
      </c>
      <c r="AF21" s="86">
        <f t="shared" si="4"/>
        <v>0</v>
      </c>
      <c r="AG21" s="86">
        <f t="shared" si="4"/>
        <v>0</v>
      </c>
      <c r="AH21" s="86">
        <f t="shared" si="4"/>
        <v>0</v>
      </c>
      <c r="AI21" s="87">
        <f t="shared" si="4"/>
        <v>0</v>
      </c>
    </row>
    <row r="22" spans="5:35">
      <c r="E22" s="85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7"/>
    </row>
    <row r="23" spans="5:35">
      <c r="E23" s="85" t="s">
        <v>156</v>
      </c>
      <c r="F23" s="86">
        <f>IF(SUM(F20:AI20)-1&lt;F15,F14,SUM(F20:AI20)-1)</f>
        <v>13</v>
      </c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</row>
    <row r="24" spans="5:35">
      <c r="E24" s="85" t="s">
        <v>161</v>
      </c>
      <c r="F24" s="91">
        <f>-SUM(F21:AI21)/100</f>
        <v>1.549822440239077E-2</v>
      </c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7"/>
    </row>
    <row r="25" spans="5:35">
      <c r="E25" s="88" t="s">
        <v>153</v>
      </c>
      <c r="F25" s="92">
        <f>F23+F24</f>
        <v>13.015498224402391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90"/>
    </row>
  </sheetData>
  <sheetProtection algorithmName="SHA-512" hashValue="+pPdnAjX5jJPEjGgxIymopgSuynJix9MU0I+JzN+J5swKVDvJVfNpS0W6uxPTtCWOdNilCqzRQL5QeaTipkOnA==" saltValue="Mckxgmj7LWMsTUA96tmXn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7" orientation="landscape" verticalDpi="0" r:id="rId1"/>
  <headerFooter>
    <oddHeader>&amp;LApplication Form&amp;R&amp;D  &amp;T</oddHeader>
    <oddFooter>&amp;L&amp;G&amp;C&amp;Z&amp;F&amp;R&amp;A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L1:U65"/>
  <sheetViews>
    <sheetView showGridLines="0" zoomScale="80" zoomScaleNormal="80" workbookViewId="0">
      <selection activeCell="Q46" sqref="Q46"/>
    </sheetView>
  </sheetViews>
  <sheetFormatPr defaultColWidth="9.1171875" defaultRowHeight="14.35"/>
  <cols>
    <col min="1" max="10" width="9.1171875" style="179"/>
    <col min="11" max="11" width="12.703125" style="179" customWidth="1"/>
    <col min="12" max="12" width="51.29296875" style="179" customWidth="1"/>
    <col min="13" max="13" width="14.1171875" style="179" customWidth="1"/>
    <col min="14" max="14" width="13.1171875" style="179" customWidth="1"/>
    <col min="15" max="15" width="13.41015625" style="179" customWidth="1"/>
    <col min="16" max="16" width="9.5859375" style="179" customWidth="1"/>
    <col min="17" max="18" width="9.1171875" style="179"/>
    <col min="19" max="19" width="11.5859375" style="179" customWidth="1"/>
    <col min="20" max="20" width="11.703125" style="179" customWidth="1"/>
    <col min="21" max="21" width="11" style="179" bestFit="1" customWidth="1"/>
    <col min="22" max="16384" width="9.1171875" style="179"/>
  </cols>
  <sheetData>
    <row r="1" spans="12:20">
      <c r="R1" s="179" t="s">
        <v>376</v>
      </c>
      <c r="S1" s="179" t="s">
        <v>377</v>
      </c>
      <c r="T1" s="179" t="s">
        <v>378</v>
      </c>
    </row>
    <row r="2" spans="12:20" ht="21.35">
      <c r="L2" s="203" t="s">
        <v>215</v>
      </c>
      <c r="M2" s="203" t="str">
        <f>'Applicant information'!B30</f>
        <v>Adnagu II</v>
      </c>
      <c r="N2" s="204"/>
      <c r="O2" s="204"/>
    </row>
    <row r="3" spans="12:20">
      <c r="L3" s="181" t="s">
        <v>20</v>
      </c>
      <c r="M3" s="181"/>
      <c r="N3" s="205">
        <f>'Investment budget'!N40</f>
        <v>19.335999999999999</v>
      </c>
      <c r="O3" s="181" t="s">
        <v>141</v>
      </c>
    </row>
    <row r="4" spans="12:20">
      <c r="L4" s="181" t="s">
        <v>138</v>
      </c>
      <c r="M4" s="181"/>
      <c r="N4" s="205">
        <f>'Investment budget'!I40</f>
        <v>12.75</v>
      </c>
      <c r="O4" s="181" t="s">
        <v>141</v>
      </c>
    </row>
    <row r="5" spans="12:20">
      <c r="L5" s="181" t="s">
        <v>139</v>
      </c>
      <c r="M5" s="181"/>
      <c r="N5" s="205">
        <f>'Investment budget'!I38</f>
        <v>2.9860000000000002</v>
      </c>
      <c r="O5" s="181" t="s">
        <v>141</v>
      </c>
    </row>
    <row r="6" spans="12:20">
      <c r="L6" s="181" t="s">
        <v>140</v>
      </c>
      <c r="M6" s="181"/>
      <c r="N6" s="205">
        <f>'Investment budget'!I39</f>
        <v>3.6</v>
      </c>
      <c r="O6" s="181" t="s">
        <v>141</v>
      </c>
    </row>
    <row r="7" spans="12:20">
      <c r="L7" s="181"/>
      <c r="M7" s="181"/>
      <c r="N7" s="191"/>
      <c r="O7" s="181"/>
    </row>
    <row r="8" spans="12:20">
      <c r="L8" s="181" t="str">
        <f>'Technical details'!A21</f>
        <v>Annual Net Energy Production</v>
      </c>
      <c r="M8" s="181"/>
      <c r="N8" s="206">
        <f>'Technical details'!C21+'Technical details'!D21+'Technical details'!E21</f>
        <v>34875.500000000007</v>
      </c>
      <c r="O8" s="181" t="s">
        <v>68</v>
      </c>
    </row>
    <row r="9" spans="12:20">
      <c r="L9" s="181" t="str">
        <f>'Technical details'!A19</f>
        <v>Lost production (planned down time)</v>
      </c>
      <c r="M9" s="181"/>
      <c r="N9" s="206">
        <f>'Technical details'!C19+'Technical details'!D19+'Technical details'!E19</f>
        <v>2103.7500000000005</v>
      </c>
      <c r="O9" s="181" t="s">
        <v>68</v>
      </c>
    </row>
    <row r="10" spans="12:20">
      <c r="L10" s="181" t="str">
        <f>'Technical details'!A20</f>
        <v>Lost production - off take periods</v>
      </c>
      <c r="M10" s="181"/>
      <c r="N10" s="206">
        <f>'Technical details'!C20+'Technical details'!D20+'Technical details'!E20</f>
        <v>935.00000000000011</v>
      </c>
      <c r="O10" s="181" t="s">
        <v>68</v>
      </c>
    </row>
    <row r="11" spans="12:20">
      <c r="L11" s="181" t="str">
        <f>'Technical details'!A22</f>
        <v>Average annual Plant Load Factor</v>
      </c>
      <c r="M11" s="181"/>
      <c r="N11" s="207">
        <f>('Technical details'!C22+'Technical details'!D22+'Technical details'!E22)*100</f>
        <v>46.83789954337901</v>
      </c>
      <c r="O11" s="181" t="s">
        <v>6</v>
      </c>
    </row>
    <row r="12" spans="12:20">
      <c r="L12" s="181"/>
      <c r="M12" s="181"/>
      <c r="N12" s="191"/>
      <c r="O12" s="181"/>
    </row>
    <row r="13" spans="12:20">
      <c r="L13" s="181"/>
      <c r="M13" s="181"/>
      <c r="N13" s="191"/>
      <c r="O13" s="181"/>
    </row>
    <row r="14" spans="12:20">
      <c r="L14" s="181"/>
      <c r="M14" s="181"/>
      <c r="N14" s="191"/>
      <c r="O14" s="181"/>
    </row>
    <row r="15" spans="12:20">
      <c r="L15" s="181" t="s">
        <v>134</v>
      </c>
      <c r="M15" s="182">
        <f>Financing!B10</f>
        <v>0.35</v>
      </c>
      <c r="N15" s="205">
        <f>Financing!C10</f>
        <v>6.7675999999999998</v>
      </c>
      <c r="O15" s="181" t="s">
        <v>141</v>
      </c>
      <c r="R15" s="235">
        <v>0.15</v>
      </c>
      <c r="S15" s="235">
        <v>0.3</v>
      </c>
      <c r="T15" s="235">
        <v>0.35</v>
      </c>
    </row>
    <row r="16" spans="12:20">
      <c r="L16" s="181" t="s">
        <v>135</v>
      </c>
      <c r="M16" s="208">
        <f>Financing!B17</f>
        <v>0.64997931319817959</v>
      </c>
      <c r="N16" s="205">
        <f>Financing!C17</f>
        <v>12.568</v>
      </c>
      <c r="O16" s="181" t="s">
        <v>141</v>
      </c>
    </row>
    <row r="17" spans="12:21">
      <c r="L17" s="181" t="s">
        <v>144</v>
      </c>
      <c r="M17" s="181"/>
      <c r="N17" s="205">
        <f>Financing!C19</f>
        <v>1.7399350000000005</v>
      </c>
      <c r="O17" s="181" t="s">
        <v>141</v>
      </c>
    </row>
    <row r="18" spans="12:21">
      <c r="L18" s="181"/>
      <c r="M18" s="181"/>
      <c r="N18" s="191"/>
      <c r="O18" s="181"/>
    </row>
    <row r="19" spans="12:21">
      <c r="L19" s="181" t="s">
        <v>163</v>
      </c>
      <c r="M19" s="181"/>
      <c r="N19" s="205">
        <f>Income!C35</f>
        <v>41.162961589096888</v>
      </c>
      <c r="O19" s="181" t="s">
        <v>141</v>
      </c>
    </row>
    <row r="20" spans="12:21">
      <c r="L20" s="181" t="s">
        <v>164</v>
      </c>
      <c r="M20" s="181"/>
      <c r="N20" s="205">
        <f>Income!C53</f>
        <v>25.7077091146841</v>
      </c>
      <c r="O20" s="181" t="s">
        <v>141</v>
      </c>
    </row>
    <row r="21" spans="12:21">
      <c r="L21" s="181" t="s">
        <v>165</v>
      </c>
      <c r="M21" s="181"/>
      <c r="N21" s="205">
        <f>Income!C57</f>
        <v>15.455252474412795</v>
      </c>
      <c r="O21" s="181" t="s">
        <v>141</v>
      </c>
    </row>
    <row r="22" spans="12:21">
      <c r="L22" s="181" t="s">
        <v>166</v>
      </c>
      <c r="M22" s="181"/>
      <c r="N22" s="205">
        <f>Income!C63</f>
        <v>10.667207120219762</v>
      </c>
      <c r="O22" s="181" t="s">
        <v>141</v>
      </c>
    </row>
    <row r="23" spans="12:21">
      <c r="L23" s="181"/>
      <c r="M23" s="181"/>
      <c r="N23" s="191"/>
      <c r="O23" s="181"/>
    </row>
    <row r="24" spans="12:21">
      <c r="L24" s="181" t="s">
        <v>142</v>
      </c>
      <c r="M24" s="181"/>
      <c r="N24" s="183">
        <f>Income!C63</f>
        <v>10.667207120219762</v>
      </c>
      <c r="O24" s="181" t="s">
        <v>141</v>
      </c>
      <c r="R24" s="178">
        <v>0</v>
      </c>
      <c r="S24" s="189"/>
      <c r="T24" s="189"/>
    </row>
    <row r="25" spans="12:21">
      <c r="L25" s="181" t="s">
        <v>143</v>
      </c>
      <c r="M25" s="181"/>
      <c r="N25" s="184">
        <f>Income!C64</f>
        <v>1.2132263022171417</v>
      </c>
      <c r="O25" s="181"/>
      <c r="R25" s="556">
        <f>'Pre-conditions'!B8</f>
        <v>0.06</v>
      </c>
      <c r="S25" s="189"/>
      <c r="T25" s="189"/>
    </row>
    <row r="26" spans="12:21">
      <c r="L26" s="181" t="s">
        <v>253</v>
      </c>
      <c r="M26" s="181"/>
      <c r="N26" s="185">
        <f>Financing!E21</f>
        <v>7.8658165630638294E-2</v>
      </c>
      <c r="O26" s="181"/>
      <c r="R26" s="556">
        <f>'Pre-conditions'!B8</f>
        <v>0.06</v>
      </c>
      <c r="S26" s="556">
        <f>'Pre-conditions'!B9</f>
        <v>7.4999999999999997E-2</v>
      </c>
      <c r="T26" s="178"/>
    </row>
    <row r="27" spans="12:21">
      <c r="L27" s="181" t="s">
        <v>172</v>
      </c>
      <c r="M27" s="181"/>
      <c r="N27" s="186">
        <f>Income!E62/Income!E72</f>
        <v>6.12916365316728E-2</v>
      </c>
      <c r="O27" s="181"/>
      <c r="R27" s="556">
        <f>'Pre-conditions'!B8</f>
        <v>0.06</v>
      </c>
      <c r="S27" s="556">
        <f>'Pre-conditions'!B9</f>
        <v>7.4999999999999997E-2</v>
      </c>
      <c r="T27" s="178"/>
    </row>
    <row r="28" spans="12:21">
      <c r="L28" s="181" t="s">
        <v>162</v>
      </c>
      <c r="M28" s="181"/>
      <c r="N28" s="187">
        <f>Sheet2!F25</f>
        <v>13.015498224402391</v>
      </c>
      <c r="O28" s="181" t="s">
        <v>119</v>
      </c>
      <c r="R28" s="178">
        <f>'Pre-conditions'!B10</f>
        <v>25</v>
      </c>
      <c r="S28" s="178"/>
      <c r="T28" s="178">
        <v>5</v>
      </c>
      <c r="U28" s="178" t="s">
        <v>119</v>
      </c>
    </row>
    <row r="30" spans="12:21" ht="21.35">
      <c r="L30" s="203" t="s">
        <v>327</v>
      </c>
      <c r="M30" s="180"/>
      <c r="N30" s="180"/>
      <c r="O30" s="180"/>
    </row>
    <row r="31" spans="12:21" ht="16.7">
      <c r="L31" s="202" t="s">
        <v>328</v>
      </c>
      <c r="M31" s="188">
        <f>'Income Sheet'!W15</f>
        <v>2013</v>
      </c>
      <c r="N31" s="188">
        <f>'Income Sheet'!V15</f>
        <v>2012</v>
      </c>
      <c r="O31" s="188">
        <f>'Income Sheet'!U15</f>
        <v>2011</v>
      </c>
    </row>
    <row r="32" spans="12:21">
      <c r="L32" s="189" t="str">
        <f>'Income Sheet'!B15</f>
        <v>Net Revenue/net sales</v>
      </c>
      <c r="M32" s="190">
        <f>'Income Sheet'!C15</f>
        <v>338710.18483736296</v>
      </c>
      <c r="N32" s="190">
        <f>'Income Sheet'!E15</f>
        <v>367858.88393811905</v>
      </c>
      <c r="O32" s="190">
        <f>'Income Sheet'!G15</f>
        <v>318062.55318560236</v>
      </c>
    </row>
    <row r="33" spans="12:15">
      <c r="L33" s="189" t="str">
        <f>'Income Sheet'!B23</f>
        <v>Net costs of sale</v>
      </c>
      <c r="M33" s="190">
        <f>'Income Sheet'!C23</f>
        <v>273000</v>
      </c>
      <c r="N33" s="190">
        <f>'Income Sheet'!E23</f>
        <v>285000</v>
      </c>
      <c r="O33" s="190">
        <f>'Income Sheet'!G23</f>
        <v>250000</v>
      </c>
    </row>
    <row r="34" spans="12:15">
      <c r="L34" s="189" t="str">
        <f>'Income Sheet'!A24</f>
        <v>Gross Profit</v>
      </c>
      <c r="M34" s="190">
        <f>'Income Sheet'!C24</f>
        <v>65710.184837362962</v>
      </c>
      <c r="N34" s="190">
        <f>'Income Sheet'!E24</f>
        <v>82858.883938119048</v>
      </c>
      <c r="O34" s="190">
        <f>'Income Sheet'!G24</f>
        <v>68062.553185602359</v>
      </c>
    </row>
    <row r="35" spans="12:15">
      <c r="L35" s="189" t="str">
        <f>'Income Sheet'!B34</f>
        <v>Net operating expenses</v>
      </c>
      <c r="M35" s="190">
        <f>'Income Sheet'!C34</f>
        <v>29341.590986401476</v>
      </c>
      <c r="N35" s="190">
        <f>'Income Sheet'!E34</f>
        <v>30707.096328968677</v>
      </c>
      <c r="O35" s="190">
        <f>'Income Sheet'!G34</f>
        <v>24205.667548278416</v>
      </c>
    </row>
    <row r="36" spans="12:15">
      <c r="L36" s="189" t="str">
        <f>'Income Sheet'!A36</f>
        <v>Operating profit / EBIDA</v>
      </c>
      <c r="M36" s="190">
        <f>'Income Sheet'!C36</f>
        <v>36368.593850961486</v>
      </c>
      <c r="N36" s="190">
        <f>'Income Sheet'!E36</f>
        <v>52151.787609150371</v>
      </c>
      <c r="O36" s="190">
        <f>'Income Sheet'!G36</f>
        <v>43856.88563732394</v>
      </c>
    </row>
    <row r="37" spans="12:15">
      <c r="L37" s="189" t="str">
        <f>'Income Sheet'!A40</f>
        <v>Earnings before tax / EBIT / PBIT</v>
      </c>
      <c r="M37" s="190">
        <f>'Income Sheet'!C40</f>
        <v>24328.133991422583</v>
      </c>
      <c r="N37" s="190">
        <f>'Income Sheet'!E40</f>
        <v>38036.97615742065</v>
      </c>
      <c r="O37" s="190">
        <f>'Income Sheet'!G40</f>
        <v>31842.772340719908</v>
      </c>
    </row>
    <row r="38" spans="12:15">
      <c r="L38" s="189" t="str">
        <f>'Income Sheet'!B44</f>
        <v>Financial Expenses</v>
      </c>
      <c r="M38" s="190">
        <f>'Income Sheet'!C44</f>
        <v>8138.2615538610526</v>
      </c>
      <c r="N38" s="190">
        <f>'Income Sheet'!E44</f>
        <v>14147.486706651151</v>
      </c>
      <c r="O38" s="190">
        <f>'Income Sheet'!G44</f>
        <v>12809.38477063175</v>
      </c>
    </row>
    <row r="39" spans="12:15">
      <c r="L39" s="191" t="str">
        <f>'Income Sheet'!A46</f>
        <v>Net income / Net profit</v>
      </c>
      <c r="M39" s="192">
        <f>'Income Sheet'!C46</f>
        <v>16189.872437561531</v>
      </c>
      <c r="N39" s="192">
        <f>'Income Sheet'!E46</f>
        <v>23889.489450769499</v>
      </c>
      <c r="O39" s="192">
        <f>'Income Sheet'!G46</f>
        <v>19033.387570088158</v>
      </c>
    </row>
    <row r="40" spans="12:15" ht="16.7">
      <c r="L40" s="202" t="s">
        <v>249</v>
      </c>
      <c r="M40" s="196"/>
      <c r="N40" s="196"/>
      <c r="O40" s="197"/>
    </row>
    <row r="41" spans="12:15">
      <c r="L41" s="189" t="str">
        <f>'Income Sheet'!A24</f>
        <v>Gross Profit</v>
      </c>
      <c r="M41" s="193">
        <f>'Income Sheet'!D24</f>
        <v>0.19400120745974836</v>
      </c>
      <c r="N41" s="193">
        <f>'Income Sheet'!F24</f>
        <v>0.2252463853830903</v>
      </c>
      <c r="O41" s="193">
        <f>'Income Sheet'!H24</f>
        <v>0.21399109233046087</v>
      </c>
    </row>
    <row r="42" spans="12:15">
      <c r="L42" s="189" t="str">
        <f>'Income Sheet'!A36</f>
        <v>Operating profit / EBIDA</v>
      </c>
      <c r="M42" s="193">
        <f>'Income Sheet'!D36</f>
        <v>0.10737378289473179</v>
      </c>
      <c r="N42" s="193">
        <f>'Income Sheet'!F36</f>
        <v>0.14177117880323725</v>
      </c>
      <c r="O42" s="193">
        <f>'Income Sheet'!H36</f>
        <v>0.13788761109432354</v>
      </c>
    </row>
    <row r="43" spans="12:15">
      <c r="L43" s="189" t="str">
        <f>'Income Sheet'!A40</f>
        <v>Earnings before tax / EBIT / PBIT</v>
      </c>
      <c r="M43" s="193">
        <f>'Income Sheet'!D40</f>
        <v>7.1825811801626574E-2</v>
      </c>
      <c r="N43" s="193">
        <f>'Income Sheet'!F40</f>
        <v>0.10340099918266267</v>
      </c>
      <c r="O43" s="193">
        <f>'Income Sheet'!H40</f>
        <v>0.10011481081879628</v>
      </c>
    </row>
    <row r="44" spans="12:15">
      <c r="L44" s="189" t="str">
        <f>'Income Sheet'!B44</f>
        <v>Financial Expenses</v>
      </c>
      <c r="M44" s="193">
        <f>'Income Sheet'!D44</f>
        <v>2.4027212402156634E-2</v>
      </c>
      <c r="N44" s="193">
        <f>'Income Sheet'!F44</f>
        <v>3.845900513586898E-2</v>
      </c>
      <c r="O44" s="193">
        <f>'Income Sheet'!H44</f>
        <v>4.027316212593237E-2</v>
      </c>
    </row>
    <row r="45" spans="12:15">
      <c r="L45" s="189" t="str">
        <f>'Income Sheet'!A46</f>
        <v>Net income / Net profit</v>
      </c>
      <c r="M45" s="193">
        <f>'Income Sheet'!D46</f>
        <v>4.7798599399469947E-2</v>
      </c>
      <c r="N45" s="193">
        <f>'Income Sheet'!F46</f>
        <v>6.4941994046793697E-2</v>
      </c>
      <c r="O45" s="193">
        <f>'Income Sheet'!H46</f>
        <v>5.9841648692863909E-2</v>
      </c>
    </row>
    <row r="46" spans="12:15" ht="16.7">
      <c r="L46" s="202" t="s">
        <v>250</v>
      </c>
      <c r="M46" s="196"/>
      <c r="N46" s="196"/>
      <c r="O46" s="197"/>
    </row>
    <row r="47" spans="12:15">
      <c r="L47" s="189" t="str">
        <f>L41</f>
        <v>Gross Profit</v>
      </c>
      <c r="M47" s="194">
        <f>'Income Sheet'!W28</f>
        <v>-0.20696270919559012</v>
      </c>
      <c r="N47" s="194">
        <f>'Income Sheet'!V28</f>
        <v>0.2173931194171928</v>
      </c>
      <c r="O47" s="181"/>
    </row>
    <row r="48" spans="12:15">
      <c r="L48" s="189" t="str">
        <f t="shared" ref="L48:L51" si="0">L42</f>
        <v>Operating profit / EBIDA</v>
      </c>
      <c r="M48" s="194">
        <f>'Income Sheet'!W29</f>
        <v>-0.30263955430397599</v>
      </c>
      <c r="N48" s="194">
        <f>'Income Sheet'!V29</f>
        <v>0.18913568191826058</v>
      </c>
      <c r="O48" s="181"/>
    </row>
    <row r="49" spans="12:20">
      <c r="L49" s="189" t="str">
        <f t="shared" si="0"/>
        <v>Earnings before tax / EBIT / PBIT</v>
      </c>
      <c r="M49" s="194">
        <f>'Income Sheet'!W30</f>
        <v>-0.36040830662412165</v>
      </c>
      <c r="N49" s="194">
        <f>'Income Sheet'!V30</f>
        <v>0.19452463970229489</v>
      </c>
      <c r="O49" s="181"/>
    </row>
    <row r="50" spans="12:20">
      <c r="L50" s="189" t="str">
        <f t="shared" si="0"/>
        <v>Financial Expenses</v>
      </c>
      <c r="M50" s="194">
        <f>'Income Sheet'!W31</f>
        <v>-0.42475566702352752</v>
      </c>
      <c r="N50" s="194">
        <f>'Income Sheet'!V31</f>
        <v>0.10446262330157222</v>
      </c>
      <c r="O50" s="181"/>
    </row>
    <row r="51" spans="12:20">
      <c r="L51" s="189" t="str">
        <f t="shared" si="0"/>
        <v>Net income / Net profit</v>
      </c>
      <c r="M51" s="194">
        <f>'Income Sheet'!W32</f>
        <v>0.32230144679630052</v>
      </c>
      <c r="N51" s="194">
        <f>'Income Sheet'!V32</f>
        <v>0.25513597423471412</v>
      </c>
      <c r="O51" s="181"/>
    </row>
    <row r="52" spans="12:20" ht="16.7">
      <c r="L52" s="202" t="s">
        <v>325</v>
      </c>
      <c r="M52" s="196"/>
      <c r="N52" s="196"/>
      <c r="O52" s="197"/>
    </row>
    <row r="53" spans="12:20">
      <c r="L53" s="189" t="s">
        <v>254</v>
      </c>
      <c r="M53" s="195">
        <f>'Balance Sheet'!C73</f>
        <v>6.9999999999999993E-2</v>
      </c>
      <c r="N53" s="195">
        <f>'Balance Sheet'!E73</f>
        <v>6.7082730463699891E-2</v>
      </c>
      <c r="O53" s="195">
        <f>'Balance Sheet'!G73</f>
        <v>6.0382062705782613E-2</v>
      </c>
    </row>
    <row r="54" spans="12:20">
      <c r="L54" s="189" t="str">
        <f>'Balance Sheet'!B12</f>
        <v>Debt-to-Equity Ratio   [(G+H)/F]</v>
      </c>
      <c r="M54" s="194">
        <f>'Balance Sheet'!C12</f>
        <v>0.21413546602941502</v>
      </c>
      <c r="N54" s="194">
        <f>'Balance Sheet'!E12</f>
        <v>0.19374887416832426</v>
      </c>
      <c r="O54" s="194">
        <f>'Balance Sheet'!G12</f>
        <v>0.23259246676477313</v>
      </c>
      <c r="R54" s="235">
        <v>0.2</v>
      </c>
      <c r="S54" s="178"/>
      <c r="T54" s="178"/>
    </row>
    <row r="55" spans="12:20">
      <c r="L55" s="189" t="str">
        <f>'Balance Sheet'!B13</f>
        <v>Debt Ratio   [(G+H)/E]</v>
      </c>
      <c r="M55" s="194">
        <f>'Balance Sheet'!C13</f>
        <v>0.15670762484685719</v>
      </c>
      <c r="N55" s="194">
        <f>'Balance Sheet'!E13</f>
        <v>0.12870267550895381</v>
      </c>
      <c r="O55" s="194">
        <f>'Balance Sheet'!G13</f>
        <v>0.13810003119954745</v>
      </c>
      <c r="R55" s="178"/>
      <c r="S55" s="178"/>
      <c r="T55" s="178"/>
    </row>
    <row r="56" spans="12:20">
      <c r="L56" s="189" t="str">
        <f>'Balance Sheet'!B14</f>
        <v>Return on Assets (ROA)</v>
      </c>
      <c r="M56" s="194">
        <f>'Balance Sheet'!C14</f>
        <v>0.89581719646137925</v>
      </c>
      <c r="N56" s="194">
        <f>'Balance Sheet'!E14</f>
        <v>1.0463208722067339</v>
      </c>
      <c r="O56" s="194">
        <f>'Balance Sheet'!G14</f>
        <v>1.9097586312321482</v>
      </c>
      <c r="R56" s="178"/>
      <c r="S56" s="178"/>
      <c r="T56" s="178"/>
    </row>
    <row r="57" spans="12:20">
      <c r="L57" s="189" t="str">
        <f>'Balance Sheet'!B15</f>
        <v>Return on Capital Employed (ROCE)</v>
      </c>
      <c r="M57" s="194">
        <f>'Balance Sheet'!C15</f>
        <v>4.7323514212810718E-2</v>
      </c>
      <c r="N57" s="194">
        <f>'Balance Sheet'!E15</f>
        <v>7.2086950923968843E-2</v>
      </c>
      <c r="O57" s="194">
        <f>'Balance Sheet'!G15</f>
        <v>6.4788355598842315E-2</v>
      </c>
      <c r="R57" s="178"/>
      <c r="S57" s="178"/>
      <c r="T57" s="178"/>
    </row>
    <row r="58" spans="12:20">
      <c r="L58" s="189" t="str">
        <f>'Balance Sheet'!B16</f>
        <v>Gearing ((H+G)/(E-I))</v>
      </c>
      <c r="M58" s="194">
        <f>'Balance Sheet'!C16</f>
        <v>0.21413546602941497</v>
      </c>
      <c r="N58" s="194">
        <f>'Balance Sheet'!E16</f>
        <v>0.19374887416832426</v>
      </c>
      <c r="O58" s="194">
        <f>'Balance Sheet'!G16</f>
        <v>0.23259246676477313</v>
      </c>
      <c r="R58" s="178"/>
      <c r="S58" s="178"/>
      <c r="T58" s="178"/>
    </row>
    <row r="59" spans="12:20" ht="16.7">
      <c r="L59" s="202" t="s">
        <v>326</v>
      </c>
      <c r="M59" s="196"/>
      <c r="N59" s="196"/>
      <c r="O59" s="197" t="s">
        <v>261</v>
      </c>
    </row>
    <row r="60" spans="12:20">
      <c r="L60" s="565" t="str">
        <f>'Applicant information'!B10</f>
        <v>REN-Power Plc</v>
      </c>
      <c r="M60" s="565"/>
      <c r="N60" s="565"/>
      <c r="O60" s="198">
        <f>IF(Financing!B5/Financing!B$10=0," ",Financing!B5/Financing!B$10)</f>
        <v>0.14285714285714288</v>
      </c>
      <c r="R60" s="178"/>
      <c r="S60" s="178"/>
      <c r="T60" s="178"/>
    </row>
    <row r="61" spans="12:20">
      <c r="L61" s="565" t="str">
        <f>'Applicant information'!B11</f>
        <v>India Eco Energy Invest</v>
      </c>
      <c r="M61" s="565"/>
      <c r="N61" s="565"/>
      <c r="O61" s="198">
        <f>IF(Financing!B6/Financing!B$10=0," ",Financing!B6/Financing!B$10)</f>
        <v>0.85714285714285721</v>
      </c>
      <c r="R61" s="178"/>
      <c r="S61" s="178"/>
      <c r="T61" s="178"/>
    </row>
    <row r="62" spans="12:20">
      <c r="L62" s="565" t="str">
        <f>'Applicant information'!B12</f>
        <v>N/A</v>
      </c>
      <c r="M62" s="565"/>
      <c r="N62" s="565"/>
      <c r="O62" s="198" t="str">
        <f>IF(Financing!B7/Financing!B$10=0," ",Financing!B7/Financing!B$10)</f>
        <v xml:space="preserve"> </v>
      </c>
    </row>
    <row r="63" spans="12:20">
      <c r="L63" s="565" t="str">
        <f>'Applicant information'!B13</f>
        <v>N/A</v>
      </c>
      <c r="M63" s="565"/>
      <c r="N63" s="565"/>
      <c r="O63" s="198" t="str">
        <f>IF(Financing!B8/Financing!B$10=0," ",Financing!B8/Financing!B$10)</f>
        <v xml:space="preserve"> </v>
      </c>
    </row>
    <row r="64" spans="12:20">
      <c r="L64" s="565" t="str">
        <f>'Applicant information'!B14</f>
        <v>N/A</v>
      </c>
      <c r="M64" s="565"/>
      <c r="N64" s="565"/>
      <c r="O64" s="198" t="str">
        <f>IF(Financing!B9/Financing!B$10=0," ",Financing!B9/Financing!B$10)</f>
        <v xml:space="preserve"> </v>
      </c>
    </row>
    <row r="65" spans="15:15">
      <c r="O65" s="184"/>
    </row>
  </sheetData>
  <sheetProtection algorithmName="SHA-512" hashValue="wTEYoLYU87Qy2XCxPgU63MkXsOkT7Zg6htztr+R0pYC1vdkhgDRL9NxQFPdR27pdnnG8R8rv2rXHs0JFKDtmkQ==" saltValue="O1Ao1ERJm0nMs1gA0xPqwA==" spinCount="100000" sheet="1" objects="1" scenarios="1"/>
  <mergeCells count="5">
    <mergeCell ref="L60:N60"/>
    <mergeCell ref="L61:N61"/>
    <mergeCell ref="L62:N62"/>
    <mergeCell ref="L63:N63"/>
    <mergeCell ref="L64:N64"/>
  </mergeCells>
  <conditionalFormatting sqref="N25">
    <cfRule type="containsErrors" dxfId="112" priority="47">
      <formula>ISERROR(N25)</formula>
    </cfRule>
  </conditionalFormatting>
  <conditionalFormatting sqref="N24">
    <cfRule type="cellIs" dxfId="111" priority="63" operator="lessThanOrEqual">
      <formula>$R$24</formula>
    </cfRule>
    <cfRule type="cellIs" dxfId="110" priority="64" operator="greaterThan">
      <formula>$R$24</formula>
    </cfRule>
  </conditionalFormatting>
  <conditionalFormatting sqref="N28">
    <cfRule type="containsErrors" dxfId="109" priority="48">
      <formula>ISERROR(N28)</formula>
    </cfRule>
  </conditionalFormatting>
  <conditionalFormatting sqref="M15">
    <cfRule type="cellIs" dxfId="108" priority="53" operator="lessThanOrEqual">
      <formula>$R$15</formula>
    </cfRule>
    <cfRule type="cellIs" dxfId="107" priority="54" operator="between">
      <formula>$R$15</formula>
      <formula>$T$15-0.01</formula>
    </cfRule>
    <cfRule type="cellIs" dxfId="106" priority="55" operator="greaterThanOrEqual">
      <formula>$T$15</formula>
    </cfRule>
  </conditionalFormatting>
  <conditionalFormatting sqref="M41:O45">
    <cfRule type="cellIs" dxfId="105" priority="44" operator="greaterThan">
      <formula>0.025</formula>
    </cfRule>
    <cfRule type="cellIs" dxfId="104" priority="45" operator="between">
      <formula>0</formula>
      <formula>0.025</formula>
    </cfRule>
    <cfRule type="cellIs" dxfId="103" priority="46" operator="lessThan">
      <formula>0</formula>
    </cfRule>
  </conditionalFormatting>
  <conditionalFormatting sqref="M54:O54">
    <cfRule type="cellIs" dxfId="102" priority="38" operator="greaterThanOrEqual">
      <formula>1</formula>
    </cfRule>
    <cfRule type="cellIs" dxfId="101" priority="39" operator="lessThanOrEqual">
      <formula>0</formula>
    </cfRule>
    <cfRule type="cellIs" dxfId="100" priority="40" operator="between">
      <formula>0</formula>
      <formula>1</formula>
    </cfRule>
  </conditionalFormatting>
  <conditionalFormatting sqref="M55:O55">
    <cfRule type="cellIs" dxfId="99" priority="35" operator="lessThanOrEqual">
      <formula>0.5</formula>
    </cfRule>
    <cfRule type="cellIs" dxfId="98" priority="36" operator="greaterThanOrEqual">
      <formula>0.7</formula>
    </cfRule>
    <cfRule type="cellIs" dxfId="97" priority="37" operator="between">
      <formula>0.5</formula>
      <formula>0.7</formula>
    </cfRule>
  </conditionalFormatting>
  <conditionalFormatting sqref="M56:O56">
    <cfRule type="cellIs" dxfId="96" priority="32" operator="lessThanOrEqual">
      <formula>0</formula>
    </cfRule>
    <cfRule type="cellIs" dxfId="95" priority="33" operator="between">
      <formula>0</formula>
      <formula>0.08</formula>
    </cfRule>
    <cfRule type="cellIs" dxfId="94" priority="34" operator="greaterThanOrEqual">
      <formula>0.08</formula>
    </cfRule>
  </conditionalFormatting>
  <conditionalFormatting sqref="M57">
    <cfRule type="cellIs" dxfId="93" priority="29" operator="lessThanOrEqual">
      <formula>$M$57-1</formula>
    </cfRule>
    <cfRule type="cellIs" dxfId="92" priority="30" operator="between">
      <formula>$M$53</formula>
      <formula>$M$53-1</formula>
    </cfRule>
    <cfRule type="cellIs" dxfId="91" priority="31" operator="lessThanOrEqual">
      <formula>$M$53</formula>
    </cfRule>
  </conditionalFormatting>
  <conditionalFormatting sqref="N57">
    <cfRule type="cellIs" priority="26" operator="lessThanOrEqual">
      <formula>$N$53-1</formula>
    </cfRule>
    <cfRule type="cellIs" dxfId="90" priority="27" operator="between">
      <formula>$N$53</formula>
      <formula>$N$53-1</formula>
    </cfRule>
    <cfRule type="cellIs" dxfId="89" priority="28" operator="greaterThanOrEqual">
      <formula>$N$53</formula>
    </cfRule>
  </conditionalFormatting>
  <conditionalFormatting sqref="O57">
    <cfRule type="cellIs" dxfId="88" priority="23" operator="lessThanOrEqual">
      <formula>$O$53-1</formula>
    </cfRule>
    <cfRule type="cellIs" dxfId="87" priority="24" operator="between">
      <formula>$O$53</formula>
      <formula>$O$53-1</formula>
    </cfRule>
    <cfRule type="cellIs" dxfId="86" priority="25" operator="greaterThanOrEqual">
      <formula>$O$53</formula>
    </cfRule>
  </conditionalFormatting>
  <conditionalFormatting sqref="O60">
    <cfRule type="cellIs" dxfId="85" priority="20" operator="lessThanOrEqual">
      <formula>0.3</formula>
    </cfRule>
    <cfRule type="cellIs" dxfId="84" priority="21" operator="between">
      <formula>0.3</formula>
      <formula>0.5</formula>
    </cfRule>
    <cfRule type="cellIs" dxfId="83" priority="22" operator="greaterThanOrEqual">
      <formula>0.5</formula>
    </cfRule>
  </conditionalFormatting>
  <conditionalFormatting sqref="O61:O64">
    <cfRule type="cellIs" dxfId="82" priority="12" operator="between">
      <formula>0.5</formula>
      <formula>1</formula>
    </cfRule>
    <cfRule type="cellIs" dxfId="81" priority="13" operator="between">
      <formula>0.4</formula>
      <formula>0.5</formula>
    </cfRule>
    <cfRule type="cellIs" dxfId="80" priority="14" operator="between">
      <formula>0.05</formula>
      <formula>0.4</formula>
    </cfRule>
    <cfRule type="cellIs" dxfId="79" priority="15" operator="between">
      <formula>0</formula>
      <formula>0.05</formula>
    </cfRule>
  </conditionalFormatting>
  <conditionalFormatting sqref="M47:N49 M51:N51 N50">
    <cfRule type="cellIs" dxfId="78" priority="8" operator="greaterThan">
      <formula>1</formula>
    </cfRule>
    <cfRule type="cellIs" dxfId="77" priority="9" operator="between">
      <formula>0.25</formula>
      <formula>1</formula>
    </cfRule>
    <cfRule type="cellIs" dxfId="76" priority="10" operator="between">
      <formula>0</formula>
      <formula>0.25</formula>
    </cfRule>
    <cfRule type="cellIs" dxfId="75" priority="11" operator="lessThan">
      <formula>0</formula>
    </cfRule>
  </conditionalFormatting>
  <conditionalFormatting sqref="M50">
    <cfRule type="cellIs" dxfId="74" priority="5" operator="greaterThanOrEqual">
      <formula>0.2</formula>
    </cfRule>
    <cfRule type="cellIs" dxfId="73" priority="6" operator="between">
      <formula>0</formula>
      <formula>0.2</formula>
    </cfRule>
    <cfRule type="cellIs" dxfId="72" priority="7" operator="lessThanOrEqual">
      <formula>0</formula>
    </cfRule>
  </conditionalFormatting>
  <conditionalFormatting sqref="M58:O58">
    <cfRule type="cellIs" dxfId="71" priority="1" operator="lessThanOrEqual">
      <formula>0</formula>
    </cfRule>
    <cfRule type="cellIs" dxfId="70" priority="2" operator="between">
      <formula>0</formula>
      <formula>0.2</formula>
    </cfRule>
    <cfRule type="cellIs" dxfId="69" priority="3" operator="between">
      <formula>0.2</formula>
      <formula>0.35</formula>
    </cfRule>
    <cfRule type="cellIs" dxfId="68" priority="4" operator="greaterThanOrEqual">
      <formula>0.35</formula>
    </cfRule>
  </conditionalFormatting>
  <conditionalFormatting sqref="N25">
    <cfRule type="cellIs" dxfId="67" priority="65" operator="lessThan">
      <formula>$R$25</formula>
    </cfRule>
    <cfRule type="cellIs" dxfId="66" priority="66" operator="greaterThanOrEqual">
      <formula>$R$25</formula>
    </cfRule>
  </conditionalFormatting>
  <conditionalFormatting sqref="N28">
    <cfRule type="cellIs" dxfId="65" priority="70" operator="lessThan">
      <formula>$R$28-$T$28</formula>
    </cfRule>
    <cfRule type="cellIs" dxfId="64" priority="71" operator="between">
      <formula>$R$2-$T$28</formula>
      <formula>$R$28</formula>
    </cfRule>
    <cfRule type="cellIs" dxfId="63" priority="72" operator="greaterThanOrEqual">
      <formula>$R$28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>&amp;LApplication Form&amp;R&amp;D  &amp;T</oddHeader>
    <oddFooter>&amp;L&amp;G&amp;C&amp;Z&amp;F&amp;R&amp;A</oddFooter>
  </headerFooter>
  <rowBreaks count="1" manualBreakCount="1">
    <brk id="61" max="16383" man="1"/>
  </rowBreaks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6" operator="greaterThanOrEqual" id="{A48FE783-50DF-4549-9B07-C0F9982B6439}">
            <xm:f>'Pre-conditions'!$B$9</xm:f>
            <x14:dxf>
              <fill>
                <patternFill>
                  <bgColor rgb="FFFF0000"/>
                </patternFill>
              </fill>
            </x14:dxf>
          </x14:cfRule>
          <x14:cfRule type="cellIs" priority="57" operator="between" id="{03D3E56E-50A6-4016-803D-0F40E23E345B}">
            <xm:f>'Pre-conditions'!$B$8</xm:f>
            <xm:f>'Pre-conditions'!$B$9</xm:f>
            <x14:dxf>
              <fill>
                <patternFill>
                  <bgColor rgb="FFFFC000"/>
                </patternFill>
              </fill>
            </x14:dxf>
          </x14:cfRule>
          <x14:cfRule type="cellIs" priority="58" operator="lessThanOrEqual" id="{C0EA5849-0070-4C95-AEB5-29A075E1A9F6}">
            <xm:f>'Pre-conditions'!$B$8</xm:f>
            <x14:dxf>
              <fill>
                <patternFill>
                  <bgColor rgb="FF00B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ellIs" priority="49" operator="lessThanOrEqual" id="{D15B038E-AE24-4C09-B181-3E363A7398B0}">
            <xm:f>'Pre-conditions'!$B$8</xm:f>
            <x14:dxf>
              <fill>
                <patternFill>
                  <bgColor rgb="FFFF0000"/>
                </patternFill>
              </fill>
            </x14:dxf>
          </x14:cfRule>
          <x14:cfRule type="cellIs" priority="50" operator="between" id="{967D4DDA-A970-4206-AC34-09EA378F80DE}">
            <xm:f>'Pre-conditions'!$B$8</xm:f>
            <xm:f>'Pre-conditions'!$B$9</xm:f>
            <x14:dxf>
              <fill>
                <patternFill>
                  <bgColor rgb="FFFFC000"/>
                </patternFill>
              </fill>
            </x14:dxf>
          </x14:cfRule>
          <x14:cfRule type="cellIs" priority="51" operator="greaterThanOrEqual" id="{3AF0DE2A-8CD9-4ED6-8ED6-59549D9425E6}">
            <xm:f>'Pre-conditions'!$B$9</xm:f>
            <x14:dxf>
              <fill>
                <patternFill>
                  <bgColor rgb="FF00B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ellIs" priority="41" operator="lessThanOrEqual" id="{005C1514-B095-470E-B907-3E750FEF7432}">
            <xm:f>'Pre-conditions'!$B$8</xm:f>
            <x14:dxf>
              <numFmt numFmtId="165" formatCode="0.0%"/>
              <fill>
                <patternFill>
                  <bgColor rgb="FF00B050"/>
                </patternFill>
              </fill>
            </x14:dxf>
          </x14:cfRule>
          <x14:cfRule type="cellIs" priority="42" operator="between" id="{921CB674-7ADC-495C-9544-301DC9B0F9EC}">
            <xm:f>'Pre-conditions'!$B$8</xm:f>
            <xm:f>'Pre-conditions'!$B$9</xm:f>
            <x14:dxf>
              <fill>
                <patternFill>
                  <bgColor rgb="FFFFC000"/>
                </patternFill>
              </fill>
            </x14:dxf>
          </x14:cfRule>
          <x14:cfRule type="cellIs" priority="43" operator="greaterThanOrEqual" id="{B1F5E325-1828-4736-8C43-84EBA0823782}">
            <xm:f>'Pre-conditions'!$B$9</xm:f>
            <x14:dxf>
              <fill>
                <patternFill>
                  <bgColor rgb="FFFF0000"/>
                </patternFill>
              </fill>
            </x14:dxf>
          </x14:cfRule>
          <xm:sqref>M53:O53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zoomScale="70" zoomScaleNormal="70" workbookViewId="0">
      <selection activeCell="E5" sqref="E5:H5"/>
    </sheetView>
  </sheetViews>
  <sheetFormatPr defaultColWidth="9.1171875" defaultRowHeight="14.35"/>
  <cols>
    <col min="1" max="1" width="2" style="97" customWidth="1"/>
    <col min="2" max="2" width="51.703125" style="97" customWidth="1"/>
    <col min="3" max="3" width="19.1171875" style="201" customWidth="1"/>
    <col min="4" max="4" width="15" style="97" customWidth="1"/>
    <col min="5" max="5" width="20.5859375" style="97" customWidth="1"/>
    <col min="6" max="6" width="15" style="97" customWidth="1"/>
    <col min="7" max="7" width="19.29296875" style="201" customWidth="1"/>
    <col min="8" max="8" width="15" style="97" customWidth="1"/>
    <col min="9" max="10" width="9.1171875" style="97"/>
    <col min="11" max="11" width="11.87890625" style="97" customWidth="1"/>
    <col min="12" max="12" width="10.29296875" style="97" bestFit="1" customWidth="1"/>
    <col min="13" max="13" width="12.5859375" style="97" customWidth="1"/>
    <col min="14" max="22" width="9.1171875" style="97"/>
    <col min="23" max="23" width="30.5859375" style="97" customWidth="1"/>
    <col min="24" max="16384" width="9.1171875" style="97"/>
  </cols>
  <sheetData>
    <row r="1" spans="1:26" ht="14.7" thickBot="1">
      <c r="A1" s="566" t="s">
        <v>255</v>
      </c>
      <c r="B1" s="566"/>
      <c r="C1" s="566"/>
      <c r="D1" s="566"/>
      <c r="E1" s="245" t="s">
        <v>258</v>
      </c>
      <c r="F1" s="567"/>
      <c r="G1" s="567"/>
      <c r="H1" s="567"/>
    </row>
    <row r="2" spans="1:26" ht="15" thickTop="1" thickBot="1">
      <c r="A2" s="566"/>
      <c r="B2" s="566"/>
      <c r="C2" s="566"/>
      <c r="D2" s="566"/>
      <c r="E2" s="568" t="str">
        <f>'Balance Sheet - Stakeholder 1'!F1</f>
        <v>REN-Power Plc</v>
      </c>
      <c r="F2" s="568"/>
      <c r="G2" s="568"/>
      <c r="H2" s="568"/>
    </row>
    <row r="3" spans="1:26" ht="15" thickTop="1" thickBot="1">
      <c r="A3" s="566"/>
      <c r="B3" s="566"/>
      <c r="C3" s="566"/>
      <c r="D3" s="566"/>
      <c r="E3" s="568" t="str">
        <f>'Balance Sheet - Stakeholder 2'!F1</f>
        <v>India Eco Energy Invest</v>
      </c>
      <c r="F3" s="568"/>
      <c r="G3" s="568"/>
      <c r="H3" s="568"/>
    </row>
    <row r="4" spans="1:26" ht="15" thickTop="1" thickBot="1">
      <c r="A4" s="566"/>
      <c r="B4" s="566"/>
      <c r="C4" s="566"/>
      <c r="D4" s="566"/>
      <c r="E4" s="568" t="str">
        <f>'Balance Sheet - Stakeholder 3'!F1</f>
        <v>N/A</v>
      </c>
      <c r="F4" s="568"/>
      <c r="G4" s="568"/>
      <c r="H4" s="568"/>
    </row>
    <row r="5" spans="1:26" ht="15" thickTop="1" thickBot="1">
      <c r="A5" s="566"/>
      <c r="B5" s="566"/>
      <c r="C5" s="566"/>
      <c r="D5" s="566"/>
      <c r="E5" s="568" t="str">
        <f>'Balance Sheet - Stakeholder 4'!F1</f>
        <v>N/A</v>
      </c>
      <c r="F5" s="568"/>
      <c r="G5" s="568"/>
      <c r="H5" s="568"/>
    </row>
    <row r="6" spans="1:26" ht="15" thickTop="1" thickBot="1">
      <c r="A6" s="566"/>
      <c r="B6" s="566"/>
      <c r="C6" s="566"/>
      <c r="D6" s="566"/>
      <c r="E6" s="568" t="str">
        <f>'Balance Sheet - Stakeholder 5'!F1</f>
        <v>N/A</v>
      </c>
      <c r="F6" s="568"/>
      <c r="G6" s="568"/>
      <c r="H6" s="568"/>
    </row>
    <row r="7" spans="1:26" ht="16" thickTop="1">
      <c r="A7" s="246"/>
      <c r="B7" s="247" t="s">
        <v>214</v>
      </c>
      <c r="C7" s="248">
        <f>'Pre-conditions'!B4-2</f>
        <v>2013</v>
      </c>
      <c r="D7" s="249"/>
      <c r="E7" s="248">
        <f>'Pre-conditions'!B4-3</f>
        <v>2012</v>
      </c>
      <c r="F7" s="249"/>
      <c r="G7" s="248">
        <f>'Pre-conditions'!B4-4</f>
        <v>2011</v>
      </c>
      <c r="H7" s="249"/>
    </row>
    <row r="8" spans="1:26" ht="15.7">
      <c r="A8" s="246"/>
      <c r="B8" s="250" t="s">
        <v>243</v>
      </c>
      <c r="C8" s="251">
        <f>IFERROR('Balance Sheet'!$C$27/'Balance Sheet'!$C$60,"-")</f>
        <v>3.4450684394528635</v>
      </c>
      <c r="D8" s="246"/>
      <c r="E8" s="251">
        <f>IFERROR('Balance Sheet'!$E$27/'Balance Sheet'!$E$60,"-")</f>
        <v>3.6645601010011974</v>
      </c>
      <c r="F8" s="246"/>
      <c r="G8" s="251">
        <f>IFERROR('Balance Sheet'!$G$27/'Balance Sheet'!$G$60,"-")</f>
        <v>3.4905169559358891</v>
      </c>
      <c r="H8" s="246"/>
    </row>
    <row r="9" spans="1:26" ht="15.7">
      <c r="A9" s="246"/>
      <c r="B9" s="250" t="s">
        <v>175</v>
      </c>
      <c r="C9" s="251">
        <f>IFERROR(('Balance Sheet'!$C$27-C24)/'Balance Sheet'!$C$60,"-")</f>
        <v>1.9690634775205531</v>
      </c>
      <c r="D9" s="246"/>
      <c r="E9" s="251">
        <f>IFERROR(('Balance Sheet'!$E$27-E24)/'Balance Sheet'!$E$60,"-")</f>
        <v>1.9831152786830986</v>
      </c>
      <c r="F9" s="246"/>
      <c r="G9" s="251">
        <f>IFERROR(('Balance Sheet'!$G$27-G24)/'Balance Sheet'!$G$60,"-")</f>
        <v>2.0915234870306736</v>
      </c>
      <c r="H9" s="246"/>
    </row>
    <row r="10" spans="1:26" ht="15.7">
      <c r="A10" s="246"/>
      <c r="B10" s="250" t="s">
        <v>177</v>
      </c>
      <c r="C10" s="251">
        <f>C21/C60</f>
        <v>0.45416723192313152</v>
      </c>
      <c r="D10" s="246"/>
      <c r="E10" s="251">
        <f>IFERROR(E21/'Balance Sheet'!$E$60,"-")</f>
        <v>0.5023864512239159</v>
      </c>
      <c r="F10" s="246"/>
      <c r="G10" s="251">
        <f>IFERROR(G21/'Balance Sheet'!$G$60,"-")</f>
        <v>0.40911618688746804</v>
      </c>
      <c r="H10" s="246"/>
      <c r="X10" s="252">
        <f>G7</f>
        <v>2011</v>
      </c>
      <c r="Y10" s="252">
        <f>E7</f>
        <v>2012</v>
      </c>
      <c r="Z10" s="252">
        <f>C7</f>
        <v>2013</v>
      </c>
    </row>
    <row r="11" spans="1:26" ht="17.25" customHeight="1">
      <c r="A11" s="246"/>
      <c r="B11" s="250" t="s">
        <v>213</v>
      </c>
      <c r="C11" s="253">
        <f>IFERROR(('Balance Sheet'!$C$27-'Balance Sheet'!$C$60),"-")</f>
        <v>107675.41618313655</v>
      </c>
      <c r="D11" s="246"/>
      <c r="E11" s="253">
        <f>IFERROR(('Balance Sheet'!$E$27-'Balance Sheet'!$E$60),"-")</f>
        <v>103004.51389555749</v>
      </c>
      <c r="F11" s="246"/>
      <c r="G11" s="253">
        <f>IFERROR(('Balance Sheet'!$G$27-'Balance Sheet'!$G$60),"-")</f>
        <v>97912.131558174151</v>
      </c>
      <c r="H11" s="246"/>
      <c r="W11" s="97" t="str">
        <f>B10</f>
        <v>Cash Ratio   [D/B]</v>
      </c>
      <c r="X11" s="254">
        <f>IF(G10&gt;50%,50%,G10)</f>
        <v>0.40911618688746804</v>
      </c>
      <c r="Y11" s="254">
        <f>IF(E10&gt;50%,50%,E10)</f>
        <v>0.5</v>
      </c>
      <c r="Z11" s="254">
        <f>IF(C10&gt;50%,50%,C10)</f>
        <v>0.45416723192313152</v>
      </c>
    </row>
    <row r="12" spans="1:26" ht="15.75" customHeight="1">
      <c r="A12" s="246"/>
      <c r="B12" s="250" t="s">
        <v>176</v>
      </c>
      <c r="C12" s="255">
        <f>IFERROR((C63+C56)/C53,"-")</f>
        <v>0.21413546602941502</v>
      </c>
      <c r="D12" s="246"/>
      <c r="E12" s="251">
        <f>IFERROR((E63+E56)/E53,"-")</f>
        <v>0.19374887416832426</v>
      </c>
      <c r="F12" s="246"/>
      <c r="G12" s="251">
        <f>IFERROR((G63+G56)/G53,"-")</f>
        <v>0.23259246676477313</v>
      </c>
      <c r="H12" s="246"/>
      <c r="W12" s="97" t="str">
        <f>B12</f>
        <v>Debt-to-Equity Ratio   [(G+H)/F]</v>
      </c>
      <c r="X12" s="254">
        <f>IF(G12&gt;50%,50%,G12)</f>
        <v>0.23259246676477313</v>
      </c>
      <c r="Y12" s="254">
        <f>IF(E12&gt;50%,50%,E12)</f>
        <v>0.19374887416832426</v>
      </c>
      <c r="Z12" s="254">
        <f>IF(C12&gt;50%,50%,C12)</f>
        <v>0.21413546602941502</v>
      </c>
    </row>
    <row r="13" spans="1:26" ht="17.25" customHeight="1">
      <c r="A13" s="246"/>
      <c r="B13" s="250" t="s">
        <v>178</v>
      </c>
      <c r="C13" s="255">
        <f>IFERROR((C63+C56)/C41,"-")</f>
        <v>0.15670762484685719</v>
      </c>
      <c r="D13" s="246"/>
      <c r="E13" s="251">
        <f>IFERROR((E63+E56)/E41,"-")</f>
        <v>0.12870267550895381</v>
      </c>
      <c r="F13" s="246"/>
      <c r="G13" s="251">
        <f t="shared" ref="G13" si="0">IFERROR((G63+G56)/G41,"-")</f>
        <v>0.13810003119954745</v>
      </c>
      <c r="H13" s="246"/>
      <c r="W13" s="97" t="str">
        <f t="shared" ref="W13:W16" si="1">B13</f>
        <v>Debt Ratio   [(G+H)/E]</v>
      </c>
      <c r="X13" s="254">
        <f>IF(G13&gt;50%,50%,G13)</f>
        <v>0.13810003119954745</v>
      </c>
      <c r="Y13" s="254">
        <f>IF(E13&gt;50%,50%,E13)</f>
        <v>0.12870267550895381</v>
      </c>
      <c r="Z13" s="254">
        <f>IF(C13&gt;50%,50%,C13)</f>
        <v>0.15670762484685719</v>
      </c>
    </row>
    <row r="14" spans="1:26" ht="17.25" customHeight="1">
      <c r="A14" s="246"/>
      <c r="B14" s="250" t="s">
        <v>322</v>
      </c>
      <c r="C14" s="251">
        <f>'Income Sheet'!C15/(('Balance Sheet'!E41+'Balance Sheet'!C41)/2)</f>
        <v>0.89581719646137925</v>
      </c>
      <c r="D14" s="246"/>
      <c r="E14" s="251">
        <f>'Income Sheet'!E15/(('Balance Sheet'!G41+'Balance Sheet'!E41)/2)</f>
        <v>1.0463208722067339</v>
      </c>
      <c r="F14" s="246"/>
      <c r="G14" s="251">
        <f>'Income Sheet'!G15/(('Balance Sheet'!I41+'Balance Sheet'!G41)/2)</f>
        <v>1.9097586312321482</v>
      </c>
      <c r="H14" s="246"/>
      <c r="W14" s="97" t="str">
        <f t="shared" si="1"/>
        <v>Return on Assets (ROA)</v>
      </c>
      <c r="X14" s="254">
        <f>IF(G14&gt;50%,50%,G14)</f>
        <v>0.5</v>
      </c>
      <c r="Y14" s="254">
        <f>IF(E14&gt;50%,50%,E14)</f>
        <v>0.5</v>
      </c>
      <c r="Z14" s="254">
        <f>IF(C14&gt;50%,50%,C14)</f>
        <v>0.5</v>
      </c>
    </row>
    <row r="15" spans="1:26" ht="17.25" customHeight="1">
      <c r="A15" s="246"/>
      <c r="B15" s="250" t="s">
        <v>324</v>
      </c>
      <c r="C15" s="251">
        <f>'Income Sheet'!C46/('Balance Sheet'!C41-'Balance Sheet'!C60)</f>
        <v>4.7323514212810718E-2</v>
      </c>
      <c r="D15" s="246"/>
      <c r="E15" s="251">
        <f>'Income Sheet'!E46/('Balance Sheet'!E41-'Balance Sheet'!E60)</f>
        <v>7.2086950923968843E-2</v>
      </c>
      <c r="F15" s="246"/>
      <c r="G15" s="251">
        <f>'Income Sheet'!G46/('Balance Sheet'!G41-'Balance Sheet'!G60)</f>
        <v>6.4788355598842315E-2</v>
      </c>
      <c r="H15" s="246"/>
      <c r="W15" s="97" t="str">
        <f t="shared" si="1"/>
        <v>Return on Capital Employed (ROCE)</v>
      </c>
      <c r="X15" s="254">
        <f t="shared" ref="X15:X16" si="2">IF(G15&gt;50%,50%,G15)</f>
        <v>6.4788355598842315E-2</v>
      </c>
      <c r="Y15" s="254">
        <f t="shared" ref="Y15:Y16" si="3">IF(E15&gt;50%,50%,E15)</f>
        <v>7.2086950923968843E-2</v>
      </c>
      <c r="Z15" s="254">
        <f t="shared" ref="Z15:Z16" si="4">IF(C15&gt;50%,50%,C15)</f>
        <v>4.7323514212810718E-2</v>
      </c>
    </row>
    <row r="16" spans="1:26" ht="17.25" customHeight="1">
      <c r="A16" s="246"/>
      <c r="B16" s="250" t="s">
        <v>244</v>
      </c>
      <c r="C16" s="251">
        <f>(C56+C63)/(C41-C69+C53)</f>
        <v>0.21413546602941497</v>
      </c>
      <c r="D16" s="246"/>
      <c r="E16" s="251">
        <f>(E56+E63)/(E41-E69+E53)</f>
        <v>0.19374887416832426</v>
      </c>
      <c r="F16" s="246"/>
      <c r="G16" s="251">
        <f>(G56+G63)/(G41-G69+G53)</f>
        <v>0.23259246676477313</v>
      </c>
      <c r="H16" s="246"/>
      <c r="W16" s="97" t="str">
        <f t="shared" si="1"/>
        <v>Gearing ((H+G)/(E-I))</v>
      </c>
      <c r="X16" s="254">
        <f t="shared" si="2"/>
        <v>0.23259246676477313</v>
      </c>
      <c r="Y16" s="254">
        <f t="shared" si="3"/>
        <v>0.19374887416832426</v>
      </c>
      <c r="Z16" s="254">
        <f t="shared" si="4"/>
        <v>0.21413546602941497</v>
      </c>
    </row>
    <row r="17" spans="1:8" ht="23.35">
      <c r="A17" s="246"/>
      <c r="B17" s="256"/>
      <c r="C17" s="257"/>
      <c r="D17" s="246"/>
      <c r="E17" s="257"/>
      <c r="F17" s="246"/>
      <c r="G17" s="257"/>
      <c r="H17" s="246"/>
    </row>
    <row r="18" spans="1:8" ht="17" thickBot="1">
      <c r="A18" s="246"/>
      <c r="B18" s="258" t="s">
        <v>179</v>
      </c>
      <c r="C18" s="259"/>
      <c r="D18" s="260" t="s">
        <v>180</v>
      </c>
      <c r="E18" s="259"/>
      <c r="F18" s="260" t="s">
        <v>180</v>
      </c>
      <c r="G18" s="259"/>
      <c r="H18" s="260" t="s">
        <v>180</v>
      </c>
    </row>
    <row r="19" spans="1:8" ht="14.7" thickTop="1">
      <c r="A19" s="246"/>
      <c r="B19" s="246"/>
      <c r="C19" s="257"/>
      <c r="D19" s="246"/>
      <c r="E19" s="257"/>
      <c r="F19" s="246"/>
      <c r="G19" s="257"/>
      <c r="H19" s="246"/>
    </row>
    <row r="20" spans="1:8" ht="14.7" thickBot="1">
      <c r="A20" s="246"/>
      <c r="B20" s="261" t="s">
        <v>182</v>
      </c>
      <c r="C20" s="262" t="s">
        <v>212</v>
      </c>
      <c r="D20" s="263" t="s">
        <v>184</v>
      </c>
      <c r="E20" s="262" t="s">
        <v>212</v>
      </c>
      <c r="F20" s="263" t="s">
        <v>184</v>
      </c>
      <c r="G20" s="262" t="s">
        <v>212</v>
      </c>
      <c r="H20" s="263" t="s">
        <v>184</v>
      </c>
    </row>
    <row r="21" spans="1:8">
      <c r="A21" s="246"/>
      <c r="B21" s="264" t="s">
        <v>186</v>
      </c>
      <c r="C21" s="265">
        <f>'Balance Sheet - Stakeholder 1'!C17+'Balance Sheet - Stakeholder 2'!C17+'Balance Sheet - Stakeholder 3'!C17+'Balance Sheet - Stakeholder 4'!C17+'Balance Sheet - Stakeholder 5'!C17</f>
        <v>20000.522245098917</v>
      </c>
      <c r="D21" s="266">
        <f>'Balance Sheet'!$C21/C$41</f>
        <v>5.1794922282686506E-2</v>
      </c>
      <c r="E21" s="265">
        <f>'Balance Sheet - Stakeholder 1'!E17+'Balance Sheet - Stakeholder 2'!E17+'Balance Sheet - Stakeholder 3'!E17+'Balance Sheet - Stakeholder 4'!E17+'Balance Sheet - Stakeholder 5'!E17</f>
        <v>19420.868824309699</v>
      </c>
      <c r="F21" s="266">
        <f>'Balance Sheet'!$C21/E$41</f>
        <v>5.4047361142373004E-2</v>
      </c>
      <c r="G21" s="265">
        <f>'Balance Sheet - Stakeholder 1'!G17+'Balance Sheet - Stakeholder 2'!G17+'Balance Sheet - Stakeholder 3'!G17+'Balance Sheet - Stakeholder 4'!G17+'Balance Sheet - Stakeholder 5'!G17</f>
        <v>16083.985221474435</v>
      </c>
      <c r="H21" s="266">
        <f>'Balance Sheet'!$C21/G$41</f>
        <v>6.0045059696856598E-2</v>
      </c>
    </row>
    <row r="22" spans="1:8">
      <c r="A22" s="246"/>
      <c r="B22" s="264" t="s">
        <v>188</v>
      </c>
      <c r="C22" s="267">
        <f>'Balance Sheet - Stakeholder 1'!C18+'Balance Sheet - Stakeholder 2'!C18+'Balance Sheet - Stakeholder 3'!C18+'Balance Sheet - Stakeholder 4'!C18+'Balance Sheet - Stakeholder 5'!C18</f>
        <v>250</v>
      </c>
      <c r="D22" s="266">
        <f>'Balance Sheet'!$C22/C$41</f>
        <v>6.4741962294732999E-4</v>
      </c>
      <c r="E22" s="267">
        <f>'Balance Sheet - Stakeholder 1'!E18+'Balance Sheet - Stakeholder 2'!E18+'Balance Sheet - Stakeholder 3'!E18+'Balance Sheet - Stakeholder 4'!E18+'Balance Sheet - Stakeholder 5'!E18</f>
        <v>250</v>
      </c>
      <c r="F22" s="266">
        <f>'Balance Sheet'!$C22/E$41</f>
        <v>6.7557437350938658E-4</v>
      </c>
      <c r="G22" s="267">
        <f>'Balance Sheet - Stakeholder 1'!G18+'Balance Sheet - Stakeholder 2'!G18+'Balance Sheet - Stakeholder 3'!G18+'Balance Sheet - Stakeholder 4'!G18+'Balance Sheet - Stakeholder 5'!G18</f>
        <v>1250</v>
      </c>
      <c r="H22" s="266">
        <f>'Balance Sheet'!$C22/G$41</f>
        <v>7.5054364782362753E-4</v>
      </c>
    </row>
    <row r="23" spans="1:8">
      <c r="A23" s="246"/>
      <c r="B23" s="264" t="s">
        <v>190</v>
      </c>
      <c r="C23" s="267">
        <f>'Balance Sheet - Stakeholder 1'!C19+'Balance Sheet - Stakeholder 2'!C19+'Balance Sheet - Stakeholder 3'!C19+'Balance Sheet - Stakeholder 4'!C19+'Balance Sheet - Stakeholder 5'!C19</f>
        <v>55230.219024910279</v>
      </c>
      <c r="D23" s="266">
        <f>'Balance Sheet'!$C23/C$41</f>
        <v>0.14302851030562344</v>
      </c>
      <c r="E23" s="267">
        <f>'Balance Sheet - Stakeholder 1'!E19+'Balance Sheet - Stakeholder 2'!E19+'Balance Sheet - Stakeholder 3'!E19+'Balance Sheet - Stakeholder 4'!E19+'Balance Sheet - Stakeholder 5'!E19</f>
        <v>50116.553559948239</v>
      </c>
      <c r="F23" s="266">
        <f>'Balance Sheet'!$C23/E$41</f>
        <v>0.14924848246615988</v>
      </c>
      <c r="G23" s="267">
        <f>'Balance Sheet - Stakeholder 1'!G19+'Balance Sheet - Stakeholder 2'!G19+'Balance Sheet - Stakeholder 3'!G19+'Balance Sheet - Stakeholder 4'!G19+'Balance Sheet - Stakeholder 5'!G19</f>
        <v>60063.831218821462</v>
      </c>
      <c r="H23" s="266">
        <f>'Balance Sheet'!$C23/G$41</f>
        <v>0.16581076022821628</v>
      </c>
    </row>
    <row r="24" spans="1:8">
      <c r="A24" s="246"/>
      <c r="B24" s="264" t="s">
        <v>192</v>
      </c>
      <c r="C24" s="267">
        <f>'Balance Sheet - Stakeholder 1'!C20+'Balance Sheet - Stakeholder 2'!C20+'Balance Sheet - Stakeholder 3'!C20+'Balance Sheet - Stakeholder 4'!C20+'Balance Sheet - Stakeholder 5'!C20</f>
        <v>65000</v>
      </c>
      <c r="D24" s="266">
        <f>'Balance Sheet'!$C24/C$41</f>
        <v>0.16832910196630579</v>
      </c>
      <c r="E24" s="267">
        <f>'Balance Sheet - Stakeholder 1'!E20+'Balance Sheet - Stakeholder 2'!E20+'Balance Sheet - Stakeholder 3'!E20+'Balance Sheet - Stakeholder 4'!E20+'Balance Sheet - Stakeholder 5'!E20</f>
        <v>65000</v>
      </c>
      <c r="F24" s="266">
        <f>'Balance Sheet'!$C24/E$41</f>
        <v>0.17564933711244052</v>
      </c>
      <c r="G24" s="267">
        <f>'Balance Sheet - Stakeholder 1'!G20+'Balance Sheet - Stakeholder 2'!G20+'Balance Sheet - Stakeholder 3'!G20+'Balance Sheet - Stakeholder 4'!G20+'Balance Sheet - Stakeholder 5'!G20</f>
        <v>55000</v>
      </c>
      <c r="H24" s="266">
        <f>'Balance Sheet'!$C24/G$41</f>
        <v>0.19514134843414316</v>
      </c>
    </row>
    <row r="25" spans="1:8">
      <c r="A25" s="246"/>
      <c r="B25" s="264" t="s">
        <v>194</v>
      </c>
      <c r="C25" s="267">
        <f>'Balance Sheet - Stakeholder 1'!C21+'Balance Sheet - Stakeholder 2'!C21+'Balance Sheet - Stakeholder 3'!C21+'Balance Sheet - Stakeholder 4'!C21+'Balance Sheet - Stakeholder 5'!C21</f>
        <v>4000</v>
      </c>
      <c r="D25" s="266">
        <f>'Balance Sheet'!$C25/C$41</f>
        <v>1.035871396715728E-2</v>
      </c>
      <c r="E25" s="267">
        <f>'Balance Sheet - Stakeholder 1'!E21+'Balance Sheet - Stakeholder 2'!E21+'Balance Sheet - Stakeholder 3'!E21+'Balance Sheet - Stakeholder 4'!E21+'Balance Sheet - Stakeholder 5'!E21</f>
        <v>1500</v>
      </c>
      <c r="F25" s="266">
        <f>'Balance Sheet'!$C25/E$41</f>
        <v>1.0809189976150185E-2</v>
      </c>
      <c r="G25" s="267">
        <f>'Balance Sheet - Stakeholder 1'!G21+'Balance Sheet - Stakeholder 2'!G21+'Balance Sheet - Stakeholder 3'!G21+'Balance Sheet - Stakeholder 4'!G21+'Balance Sheet - Stakeholder 5'!G21</f>
        <v>1500</v>
      </c>
      <c r="H25" s="266">
        <f>'Balance Sheet'!$C25/G$41</f>
        <v>1.2008698365178041E-2</v>
      </c>
    </row>
    <row r="26" spans="1:8" ht="14.7" thickBot="1">
      <c r="A26" s="246"/>
      <c r="B26" s="264" t="s">
        <v>196</v>
      </c>
      <c r="C26" s="268">
        <f>'Balance Sheet - Stakeholder 1'!C22+'Balance Sheet - Stakeholder 2'!C22+'Balance Sheet - Stakeholder 3'!C22+'Balance Sheet - Stakeholder 4'!C22+'Balance Sheet - Stakeholder 5'!C22</f>
        <v>7232.4672488016859</v>
      </c>
      <c r="D26" s="266">
        <f>'Balance Sheet'!$C26/C$41</f>
        <v>1.8729764876792402E-2</v>
      </c>
      <c r="E26" s="268">
        <f>'Balance Sheet - Stakeholder 1'!E22+'Balance Sheet - Stakeholder 2'!E22+'Balance Sheet - Stakeholder 3'!E22+'Balance Sheet - Stakeholder 4'!E22+'Balance Sheet - Stakeholder 5'!E22</f>
        <v>5374.3219700360514</v>
      </c>
      <c r="F26" s="266">
        <f>'Balance Sheet'!$C26/E$41</f>
        <v>1.9544278122145424E-2</v>
      </c>
      <c r="G26" s="268">
        <f>'Balance Sheet - Stakeholder 1'!G22+'Balance Sheet - Stakeholder 2'!G22+'Balance Sheet - Stakeholder 3'!G22+'Balance Sheet - Stakeholder 4'!G22+'Balance Sheet - Stakeholder 5'!G22</f>
        <v>3328.2942196108434</v>
      </c>
      <c r="H26" s="266">
        <f>'Balance Sheet'!$C26/G$41</f>
        <v>2.1713129406722129E-2</v>
      </c>
    </row>
    <row r="27" spans="1:8">
      <c r="A27" s="246"/>
      <c r="B27" s="269" t="s">
        <v>197</v>
      </c>
      <c r="C27" s="270">
        <f>SUBTOTAL(109,'Balance Sheet'!$C$21:$C$26)</f>
        <v>151713.20851881089</v>
      </c>
      <c r="D27" s="271">
        <f>C27/C41</f>
        <v>0.39288843302151277</v>
      </c>
      <c r="E27" s="270">
        <f>SUBTOTAL(109,'Balance Sheet'!$E$21:$E$26)</f>
        <v>141661.744354294</v>
      </c>
      <c r="F27" s="271">
        <f t="shared" ref="F27" si="5">E27/E41</f>
        <v>0.38281217676959622</v>
      </c>
      <c r="G27" s="270">
        <f>SUBTOTAL(109,'Balance Sheet'!$G$21:$G$26)</f>
        <v>137226.11065990673</v>
      </c>
      <c r="H27" s="271">
        <f t="shared" ref="H27" si="6">G27/G41</f>
        <v>0.41197674268534068</v>
      </c>
    </row>
    <row r="28" spans="1:8">
      <c r="A28" s="246"/>
      <c r="B28" s="272"/>
      <c r="C28" s="272"/>
      <c r="D28" s="272"/>
      <c r="E28" s="272"/>
      <c r="F28" s="272"/>
      <c r="G28" s="272"/>
      <c r="H28" s="272"/>
    </row>
    <row r="29" spans="1:8" ht="14.7" thickBot="1">
      <c r="A29" s="246"/>
      <c r="B29" s="261" t="s">
        <v>198</v>
      </c>
      <c r="C29" s="262" t="s">
        <v>183</v>
      </c>
      <c r="D29" s="263" t="s">
        <v>184</v>
      </c>
      <c r="E29" s="262" t="s">
        <v>183</v>
      </c>
      <c r="F29" s="263" t="s">
        <v>184</v>
      </c>
      <c r="G29" s="262" t="s">
        <v>183</v>
      </c>
      <c r="H29" s="263" t="s">
        <v>184</v>
      </c>
    </row>
    <row r="30" spans="1:8">
      <c r="A30" s="246"/>
      <c r="B30" s="264" t="s">
        <v>200</v>
      </c>
      <c r="C30" s="265">
        <f>'Balance Sheet - Stakeholder 1'!C26+'Balance Sheet - Stakeholder 2'!C26+'Balance Sheet - Stakeholder 3'!C26+'Balance Sheet - Stakeholder 4'!C26+'Balance Sheet - Stakeholder 5'!C26</f>
        <v>160435.11188873788</v>
      </c>
      <c r="D30" s="266">
        <f>'Balance Sheet'!$C30/C41</f>
        <v>0.41547535858607748</v>
      </c>
      <c r="E30" s="265">
        <f>'Balance Sheet - Stakeholder 1'!E26+'Balance Sheet - Stakeholder 2'!E26+'Balance Sheet - Stakeholder 3'!E26+'Balance Sheet - Stakeholder 4'!E26+'Balance Sheet - Stakeholder 5'!E26</f>
        <v>162611.73703013486</v>
      </c>
      <c r="F30" s="266">
        <f>'Balance Sheet'!$C30/E41</f>
        <v>0.43354340081256976</v>
      </c>
      <c r="G30" s="265">
        <f>'Balance Sheet - Stakeholder 1'!G26+'Balance Sheet - Stakeholder 2'!G26+'Balance Sheet - Stakeholder 3'!G26+'Balance Sheet - Stakeholder 4'!G26+'Balance Sheet - Stakeholder 5'!G26</f>
        <v>132115.77643411106</v>
      </c>
      <c r="H30" s="266">
        <f>'Balance Sheet'!$C30/G41</f>
        <v>0.48165421646386064</v>
      </c>
    </row>
    <row r="31" spans="1:8" ht="14.7" thickBot="1">
      <c r="A31" s="246"/>
      <c r="B31" s="264" t="s">
        <v>202</v>
      </c>
      <c r="C31" s="268">
        <f>'Balance Sheet - Stakeholder 1'!C27+'Balance Sheet - Stakeholder 2'!C27+'Balance Sheet - Stakeholder 3'!C27+'Balance Sheet - Stakeholder 4'!C27+'Balance Sheet - Stakeholder 5'!C27</f>
        <v>6000</v>
      </c>
      <c r="D31" s="266">
        <f>'Balance Sheet'!$C31/C41</f>
        <v>1.5538070950735918E-2</v>
      </c>
      <c r="E31" s="268">
        <f>'Balance Sheet - Stakeholder 1'!E27+'Balance Sheet - Stakeholder 2'!E27+'Balance Sheet - Stakeholder 3'!E27+'Balance Sheet - Stakeholder 4'!E27+'Balance Sheet - Stakeholder 5'!E27</f>
        <v>2750</v>
      </c>
      <c r="F31" s="266">
        <f>'Balance Sheet'!$C31/E41</f>
        <v>1.6213784964225278E-2</v>
      </c>
      <c r="G31" s="268">
        <f>'Balance Sheet - Stakeholder 1'!G27+'Balance Sheet - Stakeholder 2'!G27+'Balance Sheet - Stakeholder 3'!G27+'Balance Sheet - Stakeholder 4'!G27+'Balance Sheet - Stakeholder 5'!G27</f>
        <v>2750</v>
      </c>
      <c r="H31" s="266">
        <f>'Balance Sheet'!$C31/G41</f>
        <v>1.8013047547767058E-2</v>
      </c>
    </row>
    <row r="32" spans="1:8">
      <c r="A32" s="246"/>
      <c r="B32" s="269" t="s">
        <v>4</v>
      </c>
      <c r="C32" s="270">
        <f>SUM('Balance Sheet'!$C$30:$C$31)</f>
        <v>166435.11188873788</v>
      </c>
      <c r="D32" s="271">
        <f>C32/C41</f>
        <v>0.43101342953681343</v>
      </c>
      <c r="E32" s="270">
        <f>SUM('Balance Sheet'!$E$30:$E$31)</f>
        <v>165361.73703013486</v>
      </c>
      <c r="F32" s="271">
        <f t="shared" ref="F32" si="7">E32/E41</f>
        <v>0.44685660758622914</v>
      </c>
      <c r="G32" s="270">
        <f>SUM('Balance Sheet'!$G$30:$G$31)</f>
        <v>134865.77643411106</v>
      </c>
      <c r="H32" s="271">
        <f t="shared" ref="H32" si="8">G32/G41</f>
        <v>0.40489060724569415</v>
      </c>
    </row>
    <row r="33" spans="1:15">
      <c r="A33" s="246"/>
      <c r="B33" s="272"/>
      <c r="C33" s="272"/>
      <c r="D33" s="272"/>
      <c r="E33" s="272"/>
      <c r="F33" s="272"/>
      <c r="G33" s="272"/>
      <c r="H33" s="272"/>
    </row>
    <row r="34" spans="1:15" ht="14.7" thickBot="1">
      <c r="A34" s="246"/>
      <c r="B34" s="261" t="s">
        <v>205</v>
      </c>
      <c r="C34" s="262" t="s">
        <v>183</v>
      </c>
      <c r="D34" s="263" t="s">
        <v>184</v>
      </c>
      <c r="E34" s="262" t="s">
        <v>183</v>
      </c>
      <c r="F34" s="263" t="s">
        <v>184</v>
      </c>
      <c r="G34" s="262" t="s">
        <v>183</v>
      </c>
      <c r="H34" s="263" t="s">
        <v>184</v>
      </c>
    </row>
    <row r="35" spans="1:15">
      <c r="A35" s="246"/>
      <c r="B35" s="264" t="s">
        <v>206</v>
      </c>
      <c r="C35" s="265">
        <f>'Balance Sheet - Stakeholder 1'!C31+'Balance Sheet - Stakeholder 2'!C31+'Balance Sheet - Stakeholder 3'!C31+'Balance Sheet - Stakeholder 4'!C31+'Balance Sheet - Stakeholder 5'!C31</f>
        <v>8000</v>
      </c>
      <c r="D35" s="266">
        <f>'Balance Sheet'!$C35/C$41</f>
        <v>2.071742793431456E-2</v>
      </c>
      <c r="E35" s="265">
        <f>'Balance Sheet - Stakeholder 1'!E31+'Balance Sheet - Stakeholder 2'!E31+'Balance Sheet - Stakeholder 3'!E31+'Balance Sheet - Stakeholder 4'!E31+'Balance Sheet - Stakeholder 5'!E31</f>
        <v>8000</v>
      </c>
      <c r="F35" s="266">
        <f>'Balance Sheet'!$C35/E$41</f>
        <v>2.1618379952300371E-2</v>
      </c>
      <c r="G35" s="265">
        <f>'Balance Sheet - Stakeholder 1'!G31+'Balance Sheet - Stakeholder 2'!G31+'Balance Sheet - Stakeholder 3'!G31+'Balance Sheet - Stakeholder 4'!G31+'Balance Sheet - Stakeholder 5'!G31</f>
        <v>8000</v>
      </c>
      <c r="H35" s="266">
        <f>'Balance Sheet'!$C35/G$41</f>
        <v>2.4017396730356081E-2</v>
      </c>
    </row>
    <row r="36" spans="1:15">
      <c r="A36" s="246"/>
      <c r="B36" s="264" t="s">
        <v>207</v>
      </c>
      <c r="C36" s="267">
        <f>'Balance Sheet - Stakeholder 1'!C32+'Balance Sheet - Stakeholder 2'!C32+'Balance Sheet - Stakeholder 3'!C32+'Balance Sheet - Stakeholder 4'!C32+'Balance Sheet - Stakeholder 5'!C32</f>
        <v>27000</v>
      </c>
      <c r="D36" s="266">
        <f>'Balance Sheet'!$C36/C$41</f>
        <v>6.9921319278311633E-2</v>
      </c>
      <c r="E36" s="267">
        <f>'Balance Sheet - Stakeholder 1'!E32+'Balance Sheet - Stakeholder 2'!E32+'Balance Sheet - Stakeholder 3'!E32+'Balance Sheet - Stakeholder 4'!E32+'Balance Sheet - Stakeholder 5'!E32</f>
        <v>22000</v>
      </c>
      <c r="F36" s="266">
        <f>'Balance Sheet'!$C36/E$41</f>
        <v>7.2962032339013758E-2</v>
      </c>
      <c r="G36" s="267">
        <f>'Balance Sheet - Stakeholder 1'!G32+'Balance Sheet - Stakeholder 2'!G32+'Balance Sheet - Stakeholder 3'!G32+'Balance Sheet - Stakeholder 4'!G32+'Balance Sheet - Stakeholder 5'!G32</f>
        <v>20000</v>
      </c>
      <c r="H36" s="266">
        <f>'Balance Sheet'!$C36/G$41</f>
        <v>8.1058713964951776E-2</v>
      </c>
    </row>
    <row r="37" spans="1:15">
      <c r="A37" s="246"/>
      <c r="B37" s="264" t="s">
        <v>194</v>
      </c>
      <c r="C37" s="267">
        <f>'Balance Sheet - Stakeholder 1'!C33+'Balance Sheet - Stakeholder 2'!C33+'Balance Sheet - Stakeholder 3'!C33+'Balance Sheet - Stakeholder 4'!C33+'Balance Sheet - Stakeholder 5'!C33</f>
        <v>22000</v>
      </c>
      <c r="D37" s="266">
        <f>'Balance Sheet'!$C37/C$41</f>
        <v>5.6972926819365034E-2</v>
      </c>
      <c r="E37" s="267">
        <f>'Balance Sheet - Stakeholder 1'!E33+'Balance Sheet - Stakeholder 2'!E33+'Balance Sheet - Stakeholder 3'!E33+'Balance Sheet - Stakeholder 4'!E33+'Balance Sheet - Stakeholder 5'!E33</f>
        <v>22000</v>
      </c>
      <c r="F37" s="266">
        <f>'Balance Sheet'!$C37/E$41</f>
        <v>5.9450544868826019E-2</v>
      </c>
      <c r="G37" s="267">
        <f>'Balance Sheet - Stakeholder 1'!G33+'Balance Sheet - Stakeholder 2'!G33+'Balance Sheet - Stakeholder 3'!G33+'Balance Sheet - Stakeholder 4'!G33+'Balance Sheet - Stakeholder 5'!G33</f>
        <v>22000</v>
      </c>
      <c r="H37" s="266">
        <f>'Balance Sheet'!$C37/G$41</f>
        <v>6.6047841008479213E-2</v>
      </c>
    </row>
    <row r="38" spans="1:15" ht="14.7" thickBot="1">
      <c r="A38" s="246"/>
      <c r="B38" s="264" t="s">
        <v>208</v>
      </c>
      <c r="C38" s="268">
        <f>'Balance Sheet - Stakeholder 1'!C34+'Balance Sheet - Stakeholder 2'!C34+'Balance Sheet - Stakeholder 3'!C34+'Balance Sheet - Stakeholder 4'!C34+'Balance Sheet - Stakeholder 5'!C34</f>
        <v>11000</v>
      </c>
      <c r="D38" s="266">
        <f>'Balance Sheet'!$C38/C$41</f>
        <v>2.8486463409682517E-2</v>
      </c>
      <c r="E38" s="268">
        <f>'Balance Sheet - Stakeholder 1'!E34+'Balance Sheet - Stakeholder 2'!E34+'Balance Sheet - Stakeholder 3'!E34+'Balance Sheet - Stakeholder 4'!E34+'Balance Sheet - Stakeholder 5'!E34</f>
        <v>11032</v>
      </c>
      <c r="F38" s="266">
        <f>'Balance Sheet'!$C38/E$41</f>
        <v>2.972527243441301E-2</v>
      </c>
      <c r="G38" s="268">
        <f>'Balance Sheet - Stakeholder 1'!G34+'Balance Sheet - Stakeholder 2'!G34+'Balance Sheet - Stakeholder 3'!G34+'Balance Sheet - Stakeholder 4'!G34+'Balance Sheet - Stakeholder 5'!G34</f>
        <v>11000</v>
      </c>
      <c r="H38" s="266">
        <f>'Balance Sheet'!$C38/G$41</f>
        <v>3.3023920504239607E-2</v>
      </c>
    </row>
    <row r="39" spans="1:15">
      <c r="A39" s="246"/>
      <c r="B39" s="273" t="s">
        <v>4</v>
      </c>
      <c r="C39" s="270">
        <f>SUM('Balance Sheet'!$C$35:$C$38)</f>
        <v>68000</v>
      </c>
      <c r="D39" s="274">
        <f>C39/C41</f>
        <v>0.17609813744167374</v>
      </c>
      <c r="E39" s="270">
        <f>SUM('Balance Sheet'!$E$35:$E$38)</f>
        <v>63032</v>
      </c>
      <c r="F39" s="274">
        <f t="shared" ref="F39" si="9">E39/E41</f>
        <v>0.17033121564417461</v>
      </c>
      <c r="G39" s="270">
        <f>SUM('Balance Sheet'!$G$35:$G$38)</f>
        <v>61000</v>
      </c>
      <c r="H39" s="274">
        <f t="shared" ref="H39" si="10">G39/G41</f>
        <v>0.18313265006896512</v>
      </c>
    </row>
    <row r="40" spans="1:15">
      <c r="A40" s="246"/>
      <c r="B40" s="272"/>
      <c r="C40" s="272"/>
      <c r="D40" s="272"/>
      <c r="E40" s="272"/>
      <c r="F40" s="272"/>
      <c r="G40" s="272"/>
      <c r="H40" s="272"/>
    </row>
    <row r="41" spans="1:15" ht="16" thickBot="1">
      <c r="A41" s="246"/>
      <c r="B41" s="275" t="s">
        <v>209</v>
      </c>
      <c r="C41" s="276">
        <f>C27+C32+C39</f>
        <v>386148.3204075488</v>
      </c>
      <c r="D41" s="277">
        <f>SUM('Balance Sheet'!$D$21:$D$26,'Balance Sheet'!$D$30:$D$31,'Balance Sheet'!$D$35:$D$38)</f>
        <v>0.99999999999999989</v>
      </c>
      <c r="E41" s="276">
        <f>E27+E32+E39</f>
        <v>370055.48138442886</v>
      </c>
      <c r="F41" s="277">
        <f>SUM('Balance Sheet'!$D$21:$D$26,'Balance Sheet'!$D$30:$D$31,'Balance Sheet'!$D$35:$D$38)</f>
        <v>0.99999999999999989</v>
      </c>
      <c r="G41" s="276">
        <f>G27+G32+G39</f>
        <v>333091.88709401782</v>
      </c>
      <c r="H41" s="277">
        <f>SUM('Balance Sheet'!$D$21:$D$26,'Balance Sheet'!$D$30:$D$31,'Balance Sheet'!$D$35:$D$38)</f>
        <v>0.99999999999999989</v>
      </c>
    </row>
    <row r="42" spans="1:15" ht="14.7" thickTop="1">
      <c r="A42" s="246"/>
      <c r="B42" s="246"/>
      <c r="C42" s="257"/>
      <c r="D42" s="246"/>
      <c r="E42" s="257"/>
      <c r="F42" s="246"/>
      <c r="G42" s="257"/>
      <c r="H42" s="246"/>
    </row>
    <row r="43" spans="1:15" ht="15.7">
      <c r="A43" s="246"/>
      <c r="B43" s="278" t="s">
        <v>210</v>
      </c>
      <c r="C43" s="279">
        <f>C41-C69</f>
        <v>0</v>
      </c>
      <c r="D43" s="280">
        <f>IF($C$44=0,"-",C43/$C$44)</f>
        <v>0</v>
      </c>
      <c r="E43" s="279">
        <f t="shared" ref="E43" si="11">E41-E69</f>
        <v>0</v>
      </c>
      <c r="F43" s="280">
        <f t="shared" ref="F43" si="12">IF($C$44=0,"-",E43/$C$44)</f>
        <v>0</v>
      </c>
      <c r="G43" s="279">
        <f t="shared" ref="G43" si="13">G41-G69</f>
        <v>0</v>
      </c>
      <c r="H43" s="280">
        <f t="shared" ref="H43:H44" si="14">IF($C$44=0,"-",G43/$C$44)</f>
        <v>0</v>
      </c>
    </row>
    <row r="44" spans="1:15" ht="15.7">
      <c r="A44" s="246"/>
      <c r="B44" s="278" t="s">
        <v>211</v>
      </c>
      <c r="C44" s="279">
        <f>C69+C43</f>
        <v>386148.32040754874</v>
      </c>
      <c r="D44" s="280">
        <f>IF($C$44=0,"-",C44/$C$44)</f>
        <v>1</v>
      </c>
      <c r="E44" s="279">
        <f t="shared" ref="E44" si="15">E69+E43</f>
        <v>370055.48138442886</v>
      </c>
      <c r="F44" s="280">
        <f t="shared" ref="F44" si="16">IF($C$44=0,"-",E44/$C$44)</f>
        <v>0.95832472090999854</v>
      </c>
      <c r="G44" s="279">
        <f t="shared" ref="G44" si="17">G69+G43</f>
        <v>333091.88709401782</v>
      </c>
      <c r="H44" s="280">
        <f t="shared" si="14"/>
        <v>0.86260089579689458</v>
      </c>
    </row>
    <row r="45" spans="1:15">
      <c r="E45" s="201"/>
    </row>
    <row r="46" spans="1:15">
      <c r="E46" s="201"/>
    </row>
    <row r="47" spans="1:15" ht="17" thickBot="1">
      <c r="B47" s="258" t="s">
        <v>181</v>
      </c>
      <c r="C47" s="281"/>
      <c r="D47" s="260" t="s">
        <v>180</v>
      </c>
      <c r="E47" s="281"/>
      <c r="F47" s="260" t="s">
        <v>180</v>
      </c>
      <c r="G47" s="281"/>
      <c r="H47" s="260" t="s">
        <v>180</v>
      </c>
    </row>
    <row r="48" spans="1:15" ht="14.7" thickTop="1">
      <c r="B48" s="246"/>
      <c r="C48" s="257"/>
      <c r="D48" s="246"/>
      <c r="E48" s="257"/>
      <c r="F48" s="246"/>
      <c r="G48" s="257"/>
      <c r="H48" s="246"/>
      <c r="M48" s="201"/>
      <c r="N48" s="201"/>
      <c r="O48" s="201"/>
    </row>
    <row r="49" spans="2:15" ht="14.7" thickBot="1">
      <c r="B49" s="261" t="s">
        <v>60</v>
      </c>
      <c r="C49" s="282"/>
      <c r="D49" s="263"/>
      <c r="E49" s="282"/>
      <c r="F49" s="263"/>
      <c r="G49" s="282"/>
      <c r="H49" s="263"/>
      <c r="M49" s="201"/>
      <c r="N49" s="201"/>
      <c r="O49" s="201"/>
    </row>
    <row r="50" spans="2:15">
      <c r="B50" s="264" t="s">
        <v>313</v>
      </c>
      <c r="C50" s="267">
        <f>'Balance Sheet - Stakeholder 1'!C46+'Balance Sheet - Stakeholder 2'!C46+'Balance Sheet - Stakeholder 3'!C46+'Balance Sheet - Stakeholder 4'!C46+'Balance Sheet - Stakeholder 5'!C46</f>
        <v>115283.07907650492</v>
      </c>
      <c r="D50" s="266"/>
      <c r="E50" s="267">
        <f>'Balance Sheet - Stakeholder 1'!E46+'Balance Sheet - Stakeholder 2'!E46+'Balance Sheet - Stakeholder 3'!E46+'Balance Sheet - Stakeholder 4'!E46+'Balance Sheet - Stakeholder 5'!E46</f>
        <v>115283.07907650492</v>
      </c>
      <c r="F50" s="266"/>
      <c r="G50" s="267">
        <f>'Balance Sheet - Stakeholder 1'!G46+'Balance Sheet - Stakeholder 2'!G46+'Balance Sheet - Stakeholder 3'!G46+'Balance Sheet - Stakeholder 4'!G46+'Balance Sheet - Stakeholder 5'!G46</f>
        <v>103053.27951432687</v>
      </c>
      <c r="H50" s="266"/>
      <c r="M50" s="201"/>
      <c r="N50" s="201"/>
      <c r="O50" s="201"/>
    </row>
    <row r="51" spans="2:15">
      <c r="B51" s="264" t="s">
        <v>314</v>
      </c>
      <c r="C51" s="267">
        <f>'Balance Sheet - Stakeholder 1'!C47+'Balance Sheet - Stakeholder 2'!C47+'Balance Sheet - Stakeholder 3'!C47+'Balance Sheet - Stakeholder 4'!C47+'Balance Sheet - Stakeholder 5'!C47</f>
        <v>10000</v>
      </c>
      <c r="D51" s="266"/>
      <c r="E51" s="267">
        <f>'Balance Sheet - Stakeholder 1'!E47+'Balance Sheet - Stakeholder 2'!E47+'Balance Sheet - Stakeholder 3'!E47+'Balance Sheet - Stakeholder 4'!E47+'Balance Sheet - Stakeholder 5'!E47</f>
        <v>22132</v>
      </c>
      <c r="F51" s="266"/>
      <c r="G51" s="267">
        <f>'Balance Sheet - Stakeholder 1'!G47+'Balance Sheet - Stakeholder 2'!G47+'Balance Sheet - Stakeholder 3'!G47+'Balance Sheet - Stakeholder 4'!G47+'Balance Sheet - Stakeholder 5'!G47</f>
        <v>11975</v>
      </c>
      <c r="H51" s="266"/>
      <c r="M51" s="201"/>
      <c r="N51" s="201"/>
      <c r="O51" s="201"/>
    </row>
    <row r="52" spans="2:15" ht="14.7" thickBot="1">
      <c r="B52" s="264" t="s">
        <v>315</v>
      </c>
      <c r="C52" s="267">
        <f>'Balance Sheet - Stakeholder 1'!C48+'Balance Sheet - Stakeholder 2'!C48+'Balance Sheet - Stakeholder 3'!C48+'Balance Sheet - Stakeholder 4'!C48+'Balance Sheet - Stakeholder 5'!C48</f>
        <v>157306.19607587828</v>
      </c>
      <c r="D52" s="266"/>
      <c r="E52" s="267">
        <f>'Balance Sheet - Stakeholder 1'!E48+'Balance Sheet - Stakeholder 2'!E48+'Balance Sheet - Stakeholder 3'!E48+'Balance Sheet - Stakeholder 4'!E48+'Balance Sheet - Stakeholder 5'!E48</f>
        <v>108403.79726727484</v>
      </c>
      <c r="F52" s="266"/>
      <c r="G52" s="267">
        <f>'Balance Sheet - Stakeholder 1'!G48+'Balance Sheet - Stakeholder 2'!G48+'Balance Sheet - Stakeholder 3'!G48+'Balance Sheet - Stakeholder 4'!G48+'Balance Sheet - Stakeholder 5'!G48</f>
        <v>82742.528112564192</v>
      </c>
      <c r="H52" s="266"/>
      <c r="M52" s="201"/>
      <c r="N52" s="201"/>
      <c r="O52" s="201"/>
    </row>
    <row r="53" spans="2:15">
      <c r="B53" s="283" t="s">
        <v>319</v>
      </c>
      <c r="C53" s="284">
        <f>SUM(C50:C52)</f>
        <v>282589.2751523832</v>
      </c>
      <c r="D53" s="285"/>
      <c r="E53" s="284">
        <f>SUM(E50:E52)</f>
        <v>245818.87634377976</v>
      </c>
      <c r="F53" s="285"/>
      <c r="G53" s="284">
        <f>SUM(G50:G52)</f>
        <v>197770.80762689107</v>
      </c>
      <c r="H53" s="285"/>
      <c r="M53" s="201"/>
      <c r="N53" s="201"/>
      <c r="O53" s="201"/>
    </row>
    <row r="54" spans="2:15">
      <c r="B54" s="246"/>
      <c r="C54" s="257"/>
      <c r="D54" s="246"/>
      <c r="E54" s="257"/>
      <c r="F54" s="246"/>
      <c r="G54" s="257"/>
      <c r="H54" s="246"/>
    </row>
    <row r="55" spans="2:15" ht="14.7" thickBot="1">
      <c r="B55" s="261" t="s">
        <v>185</v>
      </c>
      <c r="C55" s="262" t="s">
        <v>183</v>
      </c>
      <c r="D55" s="263" t="s">
        <v>184</v>
      </c>
      <c r="E55" s="262" t="s">
        <v>183</v>
      </c>
      <c r="F55" s="263" t="s">
        <v>184</v>
      </c>
      <c r="G55" s="262" t="s">
        <v>183</v>
      </c>
      <c r="H55" s="263" t="s">
        <v>184</v>
      </c>
    </row>
    <row r="56" spans="2:15">
      <c r="B56" s="264" t="s">
        <v>187</v>
      </c>
      <c r="C56" s="265">
        <f>'Balance Sheet - Stakeholder 1'!C52+'Balance Sheet - Stakeholder 2'!C52+'Balance Sheet - Stakeholder 3'!C52+'Balance Sheet - Stakeholder 4'!C52+'Balance Sheet - Stakeholder 5'!C52</f>
        <v>15003.763966764593</v>
      </c>
      <c r="D56" s="266">
        <f>IFERROR('Balance Sheet'!$C56/E,"-")</f>
        <v>3.8854924840613876E-2</v>
      </c>
      <c r="E56" s="265">
        <f>'Balance Sheet - Stakeholder 1'!E52+'Balance Sheet - Stakeholder 2'!E52+'Balance Sheet - Stakeholder 3'!E52+'Balance Sheet - Stakeholder 4'!E52+'Balance Sheet - Stakeholder 5'!E52</f>
        <v>6058.0097818214372</v>
      </c>
      <c r="F56" s="266">
        <f>IFERROR('Balance Sheet'!$C56/E,"-")</f>
        <v>3.8854924840613876E-2</v>
      </c>
      <c r="G56" s="265">
        <f>'Balance Sheet - Stakeholder 1'!G52+'Balance Sheet - Stakeholder 2'!G52+'Balance Sheet - Stakeholder 3'!G52+'Balance Sheet - Stakeholder 4'!G52+'Balance Sheet - Stakeholder 5'!G52</f>
        <v>6000</v>
      </c>
      <c r="H56" s="266">
        <f>IFERROR('Balance Sheet'!$C56/E,"-")</f>
        <v>3.8854924840613876E-2</v>
      </c>
    </row>
    <row r="57" spans="2:15">
      <c r="B57" s="264" t="s">
        <v>189</v>
      </c>
      <c r="C57" s="267">
        <f>'Balance Sheet - Stakeholder 1'!C53+'Balance Sheet - Stakeholder 2'!C53+'Balance Sheet - Stakeholder 3'!C53+'Balance Sheet - Stakeholder 4'!C53+'Balance Sheet - Stakeholder 5'!C53</f>
        <v>6034.0283689097578</v>
      </c>
      <c r="D57" s="266">
        <f>IFERROR('Balance Sheet'!$C57/E,"-")</f>
        <v>1.5626193485812193E-2</v>
      </c>
      <c r="E57" s="267">
        <f>'Balance Sheet - Stakeholder 1'!E53+'Balance Sheet - Stakeholder 2'!E53+'Balance Sheet - Stakeholder 3'!E53+'Balance Sheet - Stakeholder 4'!E53+'Balance Sheet - Stakeholder 5'!E53</f>
        <v>14564.299948730886</v>
      </c>
      <c r="F57" s="266">
        <f>IFERROR('Balance Sheet'!$C57/E,"-")</f>
        <v>1.5626193485812193E-2</v>
      </c>
      <c r="G57" s="267">
        <f>'Balance Sheet - Stakeholder 1'!G53+'Balance Sheet - Stakeholder 2'!G53+'Balance Sheet - Stakeholder 3'!G53+'Balance Sheet - Stakeholder 4'!G53+'Balance Sheet - Stakeholder 5'!G53</f>
        <v>14520.443844044237</v>
      </c>
      <c r="H57" s="266">
        <f>IFERROR('Balance Sheet'!$C57/E,"-")</f>
        <v>1.5626193485812193E-2</v>
      </c>
    </row>
    <row r="58" spans="2:15">
      <c r="B58" s="264" t="s">
        <v>191</v>
      </c>
      <c r="C58" s="267">
        <f>'Balance Sheet - Stakeholder 1'!C54+'Balance Sheet - Stakeholder 2'!C54+'Balance Sheet - Stakeholder 3'!C54+'Balance Sheet - Stakeholder 4'!C54+'Balance Sheet - Stakeholder 5'!C54</f>
        <v>15000</v>
      </c>
      <c r="D58" s="266">
        <f>IFERROR('Balance Sheet'!$C58/E,"-")</f>
        <v>3.8845177376839804E-2</v>
      </c>
      <c r="E58" s="267">
        <f>'Balance Sheet - Stakeholder 1'!E54+'Balance Sheet - Stakeholder 2'!E54+'Balance Sheet - Stakeholder 3'!E54+'Balance Sheet - Stakeholder 4'!E54+'Balance Sheet - Stakeholder 5'!E54</f>
        <v>10000</v>
      </c>
      <c r="F58" s="266">
        <f>IFERROR('Balance Sheet'!$C58/E,"-")</f>
        <v>3.8845177376839804E-2</v>
      </c>
      <c r="G58" s="267">
        <f>'Balance Sheet - Stakeholder 1'!G54+'Balance Sheet - Stakeholder 2'!G54+'Balance Sheet - Stakeholder 3'!G54+'Balance Sheet - Stakeholder 4'!G54+'Balance Sheet - Stakeholder 5'!G54</f>
        <v>10000</v>
      </c>
      <c r="H58" s="266">
        <f>IFERROR('Balance Sheet'!$C58/E,"-")</f>
        <v>3.8845177376839804E-2</v>
      </c>
    </row>
    <row r="59" spans="2:15" ht="14.7" thickBot="1">
      <c r="B59" s="264" t="s">
        <v>193</v>
      </c>
      <c r="C59" s="268">
        <f>'Balance Sheet - Stakeholder 1'!C55+'Balance Sheet - Stakeholder 2'!C55+'Balance Sheet - Stakeholder 3'!C55+'Balance Sheet - Stakeholder 4'!C55+'Balance Sheet - Stakeholder 5'!C55</f>
        <v>8000</v>
      </c>
      <c r="D59" s="266">
        <f>IFERROR('Balance Sheet'!$C59/E,"-")</f>
        <v>2.071742793431456E-2</v>
      </c>
      <c r="E59" s="268">
        <f>'Balance Sheet - Stakeholder 1'!E55+'Balance Sheet - Stakeholder 2'!E55+'Balance Sheet - Stakeholder 3'!E55+'Balance Sheet - Stakeholder 4'!E55+'Balance Sheet - Stakeholder 5'!E55</f>
        <v>8034.9207281841782</v>
      </c>
      <c r="F59" s="266">
        <f>IFERROR('Balance Sheet'!$C59/E,"-")</f>
        <v>2.071742793431456E-2</v>
      </c>
      <c r="G59" s="268">
        <f>'Balance Sheet - Stakeholder 1'!G55+'Balance Sheet - Stakeholder 2'!G55+'Balance Sheet - Stakeholder 3'!G55+'Balance Sheet - Stakeholder 4'!G55+'Balance Sheet - Stakeholder 5'!G55</f>
        <v>8793.5352576883324</v>
      </c>
      <c r="H59" s="266">
        <f>IFERROR('Balance Sheet'!$C59/E,"-")</f>
        <v>2.071742793431456E-2</v>
      </c>
    </row>
    <row r="60" spans="2:15">
      <c r="B60" s="283" t="s">
        <v>195</v>
      </c>
      <c r="C60" s="284">
        <f>SUBTOTAL(109,'Balance Sheet'!$C$56:$C$59)</f>
        <v>44037.792335674349</v>
      </c>
      <c r="D60" s="285">
        <f>SUBTOTAL(109,'Balance Sheet'!$D$56:$D$59)</f>
        <v>0.11404372363758042</v>
      </c>
      <c r="E60" s="284">
        <f>SUBTOTAL(109,'Balance Sheet'!$E$56:$E$59)</f>
        <v>38657.2304587365</v>
      </c>
      <c r="F60" s="285">
        <f>SUBTOTAL(109,'Balance Sheet'!$D$56:$D$59)</f>
        <v>0.11404372363758042</v>
      </c>
      <c r="G60" s="284">
        <f>SUBTOTAL(109,'Balance Sheet'!$G$56:$G$59)</f>
        <v>39313.97910173257</v>
      </c>
      <c r="H60" s="285">
        <f>SUBTOTAL(109,'Balance Sheet'!$D$56:$D$59)</f>
        <v>0.11404372363758042</v>
      </c>
    </row>
    <row r="61" spans="2:15">
      <c r="B61" s="246"/>
      <c r="C61" s="257"/>
      <c r="D61" s="246"/>
      <c r="E61" s="257"/>
      <c r="F61" s="246"/>
      <c r="G61" s="257"/>
      <c r="H61" s="246"/>
    </row>
    <row r="62" spans="2:15" ht="14.7" thickBot="1">
      <c r="B62" s="261" t="s">
        <v>199</v>
      </c>
      <c r="C62" s="262" t="s">
        <v>183</v>
      </c>
      <c r="D62" s="263" t="s">
        <v>184</v>
      </c>
      <c r="E62" s="262" t="s">
        <v>183</v>
      </c>
      <c r="F62" s="263" t="s">
        <v>184</v>
      </c>
      <c r="G62" s="262" t="s">
        <v>183</v>
      </c>
      <c r="H62" s="263" t="s">
        <v>184</v>
      </c>
    </row>
    <row r="63" spans="2:15">
      <c r="B63" s="264" t="s">
        <v>201</v>
      </c>
      <c r="C63" s="265">
        <f>'Balance Sheet - Stakeholder 1'!C59+'Balance Sheet - Stakeholder 2'!C59+'Balance Sheet - Stakeholder 3'!C59+'Balance Sheet - Stakeholder 4'!C59+'Balance Sheet - Stakeholder 5'!C59</f>
        <v>45508.622162905573</v>
      </c>
      <c r="D63" s="266">
        <f>IFERROR('Balance Sheet'!$C63/E,"-")</f>
        <v>0.11785270000624333</v>
      </c>
      <c r="E63" s="265">
        <f>'Balance Sheet - Stakeholder 1'!E59+'Balance Sheet - Stakeholder 2'!E59+'Balance Sheet - Stakeholder 3'!E59+'Balance Sheet - Stakeholder 4'!E59+'Balance Sheet - Stakeholder 5'!E59</f>
        <v>41569.120759108409</v>
      </c>
      <c r="F63" s="266">
        <f>IFERROR('Balance Sheet'!$C63/E,"-")</f>
        <v>0.11785270000624333</v>
      </c>
      <c r="G63" s="265">
        <f>'Balance Sheet - Stakeholder 1'!G59+'Balance Sheet - Stakeholder 2'!G59+'Balance Sheet - Stakeholder 3'!G59+'Balance Sheet - Stakeholder 4'!G59+'Balance Sheet - Stakeholder 5'!G59</f>
        <v>40000</v>
      </c>
      <c r="H63" s="266">
        <f>IFERROR('Balance Sheet'!$C63/E,"-")</f>
        <v>0.11785270000624333</v>
      </c>
      <c r="K63" s="286"/>
      <c r="L63" s="286"/>
      <c r="M63" s="286"/>
    </row>
    <row r="64" spans="2:15">
      <c r="B64" s="264" t="s">
        <v>203</v>
      </c>
      <c r="C64" s="267">
        <f>'Balance Sheet - Stakeholder 1'!C60+'Balance Sheet - Stakeholder 2'!C60+'Balance Sheet - Stakeholder 3'!C60+'Balance Sheet - Stakeholder 4'!C60+'Balance Sheet - Stakeholder 5'!C60</f>
        <v>2000</v>
      </c>
      <c r="D64" s="266">
        <f>IFERROR('Balance Sheet'!$C64/E,"-")</f>
        <v>5.17935698357864E-3</v>
      </c>
      <c r="E64" s="267">
        <f>'Balance Sheet - Stakeholder 1'!E60+'Balance Sheet - Stakeholder 2'!E60+'Balance Sheet - Stakeholder 3'!E60+'Balance Sheet - Stakeholder 4'!E60+'Balance Sheet - Stakeholder 5'!E60</f>
        <v>34000</v>
      </c>
      <c r="F64" s="266">
        <f>IFERROR('Balance Sheet'!$C64/E,"-")</f>
        <v>5.17935698357864E-3</v>
      </c>
      <c r="G64" s="267">
        <f>'Balance Sheet - Stakeholder 1'!G60+'Balance Sheet - Stakeholder 2'!G60+'Balance Sheet - Stakeholder 3'!G60+'Balance Sheet - Stakeholder 4'!G60+'Balance Sheet - Stakeholder 5'!G60</f>
        <v>50000</v>
      </c>
      <c r="H64" s="266">
        <f>IFERROR('Balance Sheet'!$C64/E,"-")</f>
        <v>5.17935698357864E-3</v>
      </c>
    </row>
    <row r="65" spans="2:8">
      <c r="B65" s="264" t="s">
        <v>194</v>
      </c>
      <c r="C65" s="267">
        <f>'Balance Sheet - Stakeholder 1'!C61+'Balance Sheet - Stakeholder 2'!C61+'Balance Sheet - Stakeholder 3'!C61+'Balance Sheet - Stakeholder 4'!C61+'Balance Sheet - Stakeholder 5'!C61</f>
        <v>8000</v>
      </c>
      <c r="D65" s="266">
        <f>IFERROR('Balance Sheet'!$C65/E,"-")</f>
        <v>2.071742793431456E-2</v>
      </c>
      <c r="E65" s="267">
        <f>'Balance Sheet - Stakeholder 1'!E61+'Balance Sheet - Stakeholder 2'!E61+'Balance Sheet - Stakeholder 3'!E61+'Balance Sheet - Stakeholder 4'!E61+'Balance Sheet - Stakeholder 5'!E61</f>
        <v>6000</v>
      </c>
      <c r="F65" s="266">
        <f>IFERROR('Balance Sheet'!$C65/E,"-")</f>
        <v>2.071742793431456E-2</v>
      </c>
      <c r="G65" s="267">
        <f>'Balance Sheet - Stakeholder 1'!G61+'Balance Sheet - Stakeholder 2'!G61+'Balance Sheet - Stakeholder 3'!G61+'Balance Sheet - Stakeholder 4'!G61+'Balance Sheet - Stakeholder 5'!G61</f>
        <v>4000</v>
      </c>
      <c r="H65" s="266">
        <f>IFERROR('Balance Sheet'!$C65/E,"-")</f>
        <v>2.071742793431456E-2</v>
      </c>
    </row>
    <row r="66" spans="2:8" ht="14.7" thickBot="1">
      <c r="B66" s="264" t="s">
        <v>204</v>
      </c>
      <c r="C66" s="268">
        <f>'Balance Sheet - Stakeholder 1'!C62+'Balance Sheet - Stakeholder 2'!C62+'Balance Sheet - Stakeholder 3'!C62+'Balance Sheet - Stakeholder 4'!C62+'Balance Sheet - Stakeholder 5'!C62</f>
        <v>4012.6307565856396</v>
      </c>
      <c r="D66" s="266">
        <f>IFERROR('Balance Sheet'!$C66/E,"-")</f>
        <v>1.0391423565822138E-2</v>
      </c>
      <c r="E66" s="268">
        <f>'Balance Sheet - Stakeholder 1'!E62+'Balance Sheet - Stakeholder 2'!E62+'Balance Sheet - Stakeholder 3'!E62+'Balance Sheet - Stakeholder 4'!E62+'Balance Sheet - Stakeholder 5'!E62</f>
        <v>4010.2538228041763</v>
      </c>
      <c r="F66" s="266">
        <f>IFERROR('Balance Sheet'!$C66/E,"-")</f>
        <v>1.0391423565822138E-2</v>
      </c>
      <c r="G66" s="268">
        <f>'Balance Sheet - Stakeholder 1'!G62+'Balance Sheet - Stakeholder 2'!G62+'Balance Sheet - Stakeholder 3'!G62+'Balance Sheet - Stakeholder 4'!G62+'Balance Sheet - Stakeholder 5'!G62</f>
        <v>2007.1003653941618</v>
      </c>
      <c r="H66" s="266">
        <f>IFERROR('Balance Sheet'!$C66/E,"-")</f>
        <v>1.0391423565822138E-2</v>
      </c>
    </row>
    <row r="67" spans="2:8">
      <c r="B67" s="283" t="s">
        <v>4</v>
      </c>
      <c r="C67" s="284">
        <f>SUM('Balance Sheet'!$C$63:$C$66)</f>
        <v>59521.252919491213</v>
      </c>
      <c r="D67" s="285">
        <f>SUBTOTAL(109,'Balance Sheet'!$D$63:$D$66)</f>
        <v>0.15414090848995868</v>
      </c>
      <c r="E67" s="284">
        <f>SUM('Balance Sheet'!$E$63:$E$66)</f>
        <v>85579.374581912591</v>
      </c>
      <c r="F67" s="285">
        <f>SUBTOTAL(109,'Balance Sheet'!$D$63:$D$66)</f>
        <v>0.15414090848995868</v>
      </c>
      <c r="G67" s="284">
        <f>SUM('Balance Sheet'!$G$63:$G$66)</f>
        <v>96007.100365394159</v>
      </c>
      <c r="H67" s="285">
        <f>SUBTOTAL(109,'Balance Sheet'!$D$63:$D$66)</f>
        <v>0.15414090848995868</v>
      </c>
    </row>
    <row r="68" spans="2:8">
      <c r="B68" s="272"/>
      <c r="C68" s="272"/>
      <c r="D68" s="272"/>
      <c r="E68" s="272"/>
      <c r="F68" s="272"/>
      <c r="G68" s="272"/>
      <c r="H68" s="272"/>
    </row>
    <row r="69" spans="2:8" ht="16" thickBot="1">
      <c r="B69" s="275" t="s">
        <v>245</v>
      </c>
      <c r="C69" s="276">
        <f>C53+C60+C67</f>
        <v>386148.32040754874</v>
      </c>
      <c r="D69" s="277">
        <f>IFERROR(C69/E,"-")</f>
        <v>1</v>
      </c>
      <c r="E69" s="276">
        <f>E53+E60+E67</f>
        <v>370055.48138442886</v>
      </c>
      <c r="F69" s="277">
        <f>IFERROR(E69/E,"-")</f>
        <v>0.95832472090999854</v>
      </c>
      <c r="G69" s="276">
        <f>G53+G60+G67</f>
        <v>333091.88709401782</v>
      </c>
      <c r="H69" s="277">
        <f>IFERROR(G69/E,"-")</f>
        <v>0.86260089579689458</v>
      </c>
    </row>
    <row r="70" spans="2:8" ht="14.7" thickTop="1"/>
    <row r="71" spans="2:8" hidden="1">
      <c r="B71" s="97" t="s">
        <v>251</v>
      </c>
      <c r="C71" s="287">
        <f>'Pre-conditions'!B9+Financing!B3*'Pre-conditions'!B8</f>
        <v>0.105</v>
      </c>
    </row>
    <row r="72" spans="2:8" hidden="1">
      <c r="B72" s="97" t="s">
        <v>252</v>
      </c>
      <c r="C72" s="287">
        <f>('Pre-conditions'!B9+'Pre-conditions'!B11)*(1-'Pre-conditions'!B12)</f>
        <v>6.9999999999999993E-2</v>
      </c>
    </row>
    <row r="73" spans="2:8" ht="14.7" thickBot="1">
      <c r="B73" s="288" t="s">
        <v>256</v>
      </c>
      <c r="C73" s="289">
        <f>(D43*$C71)+(D44-D43)*$C72</f>
        <v>6.9999999999999993E-2</v>
      </c>
      <c r="D73" s="288"/>
      <c r="E73" s="289">
        <f>(F43*$C71)+(F44-F43)*$C72</f>
        <v>6.7082730463699891E-2</v>
      </c>
      <c r="F73" s="288"/>
      <c r="G73" s="289">
        <f>(H43*$C71)+(H44-H43)*$C72</f>
        <v>6.0382062705782613E-2</v>
      </c>
      <c r="H73" s="288"/>
    </row>
  </sheetData>
  <sheetProtection algorithmName="SHA-512" hashValue="uS2a9ySp8JIFWhXpTHIhCNDKwkcjqdI9TgyytVlSplBZb3cELttEqrBo7TCsiI4iSKDbykEDaqqcO0kMZ90PqA==" saltValue="JPe+6cTdIoiCZNXbYuydUA==" spinCount="100000" sheet="1" objects="1" scenarios="1"/>
  <mergeCells count="7">
    <mergeCell ref="A1:D6"/>
    <mergeCell ref="F1:H1"/>
    <mergeCell ref="E2:H2"/>
    <mergeCell ref="E4:H4"/>
    <mergeCell ref="E3:H3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  <pageSetUpPr fitToPage="1"/>
  </sheetPr>
  <dimension ref="A1:W47"/>
  <sheetViews>
    <sheetView zoomScale="70" zoomScaleNormal="70" workbookViewId="0">
      <selection activeCell="L57" sqref="L57"/>
    </sheetView>
  </sheetViews>
  <sheetFormatPr defaultRowHeight="14.35"/>
  <cols>
    <col min="1" max="1" width="6.5859375" customWidth="1"/>
    <col min="2" max="2" width="46.703125" customWidth="1"/>
    <col min="3" max="3" width="15.703125" style="24" customWidth="1"/>
    <col min="4" max="4" width="10.1171875" style="152" customWidth="1"/>
    <col min="5" max="5" width="14.87890625" customWidth="1"/>
    <col min="7" max="7" width="16" customWidth="1"/>
    <col min="9" max="9" width="2.703125" customWidth="1"/>
    <col min="15" max="15" width="7.87890625" customWidth="1"/>
    <col min="19" max="19" width="5.87890625" customWidth="1"/>
    <col min="20" max="20" width="29.87890625" customWidth="1"/>
  </cols>
  <sheetData>
    <row r="1" spans="1:23" ht="14.7" thickBot="1">
      <c r="A1" s="570" t="s">
        <v>260</v>
      </c>
      <c r="B1" s="570"/>
      <c r="C1" s="570"/>
      <c r="D1" s="570"/>
      <c r="E1" s="162" t="s">
        <v>258</v>
      </c>
      <c r="F1" s="163"/>
      <c r="G1" s="163"/>
      <c r="H1" s="163"/>
    </row>
    <row r="2" spans="1:23" ht="15" thickTop="1" thickBot="1">
      <c r="A2" s="570"/>
      <c r="B2" s="570"/>
      <c r="C2" s="570"/>
      <c r="D2" s="570"/>
      <c r="E2" s="569" t="str">
        <f>'Balance Sheet'!E2:H2</f>
        <v>REN-Power Plc</v>
      </c>
      <c r="F2" s="569"/>
      <c r="G2" s="569"/>
      <c r="H2" s="569"/>
    </row>
    <row r="3" spans="1:23" ht="15" thickTop="1" thickBot="1">
      <c r="A3" s="570"/>
      <c r="B3" s="570"/>
      <c r="C3" s="570"/>
      <c r="D3" s="570"/>
      <c r="E3" s="569" t="str">
        <f>'Balance Sheet'!E3:H3</f>
        <v>India Eco Energy Invest</v>
      </c>
      <c r="F3" s="569"/>
      <c r="G3" s="569"/>
      <c r="H3" s="569"/>
    </row>
    <row r="4" spans="1:23" ht="15" thickTop="1" thickBot="1">
      <c r="A4" s="570"/>
      <c r="B4" s="570"/>
      <c r="C4" s="570"/>
      <c r="D4" s="570"/>
      <c r="E4" s="569" t="str">
        <f>'Balance Sheet'!E4:H4</f>
        <v>N/A</v>
      </c>
      <c r="F4" s="569"/>
      <c r="G4" s="569"/>
      <c r="H4" s="569"/>
    </row>
    <row r="5" spans="1:23" ht="15" thickTop="1" thickBot="1">
      <c r="A5" s="570"/>
      <c r="B5" s="570"/>
      <c r="C5" s="570"/>
      <c r="D5" s="570"/>
      <c r="E5" s="569" t="str">
        <f>'Balance Sheet'!E5:H5</f>
        <v>N/A</v>
      </c>
      <c r="F5" s="569"/>
      <c r="G5" s="569"/>
      <c r="H5" s="569"/>
    </row>
    <row r="6" spans="1:23" ht="15" thickTop="1" thickBot="1">
      <c r="A6" s="570"/>
      <c r="B6" s="570"/>
      <c r="C6" s="570"/>
      <c r="D6" s="570"/>
      <c r="E6" s="569" t="str">
        <f>'Balance Sheet'!E6:H6</f>
        <v>N/A</v>
      </c>
      <c r="F6" s="569"/>
      <c r="G6" s="569"/>
      <c r="H6" s="569"/>
    </row>
    <row r="7" spans="1:23" ht="16" thickTop="1">
      <c r="A7" s="115"/>
      <c r="B7" s="116" t="s">
        <v>214</v>
      </c>
      <c r="C7" s="571">
        <f>'Pre-conditions'!B4-2</f>
        <v>2013</v>
      </c>
      <c r="D7" s="571"/>
      <c r="E7" s="572">
        <f>'Pre-conditions'!B4-3</f>
        <v>2012</v>
      </c>
      <c r="F7" s="572"/>
      <c r="G7" s="572">
        <f>'Pre-conditions'!B4-4</f>
        <v>2011</v>
      </c>
      <c r="H7" s="572"/>
    </row>
    <row r="9" spans="1:23">
      <c r="C9" s="24" t="s">
        <v>212</v>
      </c>
      <c r="D9" s="152" t="s">
        <v>242</v>
      </c>
      <c r="E9" s="24" t="s">
        <v>212</v>
      </c>
      <c r="F9" s="152" t="s">
        <v>242</v>
      </c>
      <c r="G9" s="24" t="s">
        <v>212</v>
      </c>
      <c r="H9" s="152" t="s">
        <v>242</v>
      </c>
    </row>
    <row r="10" spans="1:23">
      <c r="A10" s="149" t="s">
        <v>217</v>
      </c>
      <c r="B10" s="147"/>
      <c r="C10" s="150"/>
      <c r="E10" s="150"/>
      <c r="F10" s="152"/>
      <c r="G10" s="150"/>
      <c r="H10" s="152"/>
    </row>
    <row r="11" spans="1:23">
      <c r="A11" s="147"/>
      <c r="B11" s="147" t="s">
        <v>218</v>
      </c>
      <c r="C11" s="150">
        <f>'Income Sheet - Stakeholder 1'!C8+'Income Sheet - Stakeholder  2'!C8+'Income Sheet - Stakeholder  3'!C8+'Income Sheet - Stakeholder  4'!C8+'Income Sheet - Stakeholder  5'!C8</f>
        <v>338679.39832032617</v>
      </c>
      <c r="E11" s="150">
        <f>'Income Sheet - Stakeholder 1'!E8+'Income Sheet - Stakeholder  2'!E8+'Income Sheet - Stakeholder  3'!E8+'Income Sheet - Stakeholder  4'!E8+'Income Sheet - Stakeholder  5'!E8</f>
        <v>366718.03174778854</v>
      </c>
      <c r="F11" s="152"/>
      <c r="G11" s="150">
        <f>'Income Sheet - Stakeholder 1'!G8+'Income Sheet - Stakeholder  2'!G8+'Income Sheet - Stakeholder  3'!G8+'Income Sheet - Stakeholder  4'!G8+'Income Sheet - Stakeholder  5'!G8</f>
        <v>317828.89909750083</v>
      </c>
      <c r="H11" s="152"/>
    </row>
    <row r="12" spans="1:23">
      <c r="A12" s="147"/>
      <c r="B12" s="147" t="s">
        <v>219</v>
      </c>
      <c r="C12" s="150">
        <f>'Income Sheet - Stakeholder 1'!C9+'Income Sheet - Stakeholder  2'!C9+'Income Sheet - Stakeholder  3'!C9+'Income Sheet - Stakeholder  4'!C9+'Income Sheet - Stakeholder  5'!C9</f>
        <v>0</v>
      </c>
      <c r="E12" s="150">
        <f>'Income Sheet - Stakeholder 1'!E9+'Income Sheet - Stakeholder  2'!E9+'Income Sheet - Stakeholder  3'!E9+'Income Sheet - Stakeholder  4'!E9+'Income Sheet - Stakeholder  5'!E9</f>
        <v>0</v>
      </c>
      <c r="F12" s="152"/>
      <c r="G12" s="150">
        <f>'Income Sheet - Stakeholder 1'!G9+'Income Sheet - Stakeholder  2'!G9+'Income Sheet - Stakeholder  3'!G9+'Income Sheet - Stakeholder  4'!G9+'Income Sheet - Stakeholder  5'!G9</f>
        <v>0</v>
      </c>
      <c r="H12" s="152"/>
    </row>
    <row r="13" spans="1:23">
      <c r="A13" s="147"/>
      <c r="B13" s="147" t="str">
        <f>'Income Sheet - Stakeholder 1'!B10</f>
        <v>Other income (Specify)</v>
      </c>
      <c r="C13" s="150">
        <f>'Income Sheet - Stakeholder 1'!C10+'Income Sheet - Stakeholder  2'!C10+'Income Sheet - Stakeholder  3'!C10+'Income Sheet - Stakeholder  4'!C10+'Income Sheet - Stakeholder  5'!C10</f>
        <v>30.786517036807968</v>
      </c>
      <c r="E13" s="150">
        <f>'Income Sheet - Stakeholder 1'!E10+'Income Sheet - Stakeholder  2'!E10+'Income Sheet - Stakeholder  3'!E10+'Income Sheet - Stakeholder  4'!E10+'Income Sheet - Stakeholder  5'!E10</f>
        <v>1140.8521903304822</v>
      </c>
      <c r="F13" s="152"/>
      <c r="G13" s="150">
        <f>'Income Sheet - Stakeholder 1'!G10+'Income Sheet - Stakeholder  2'!G10+'Income Sheet - Stakeholder  3'!G10+'Income Sheet - Stakeholder  4'!G10+'Income Sheet - Stakeholder  5'!G10</f>
        <v>233.65408810149657</v>
      </c>
      <c r="H13" s="152"/>
    </row>
    <row r="14" spans="1:23">
      <c r="A14" s="147"/>
      <c r="B14" s="147" t="str">
        <f>'Income Sheet - Stakeholder 1'!B11</f>
        <v>Other income (Specify)</v>
      </c>
      <c r="C14" s="150">
        <f>'Income Sheet - Stakeholder 1'!C11+'Income Sheet - Stakeholder  2'!C11+'Income Sheet - Stakeholder  3'!C11+'Income Sheet - Stakeholder  4'!C11+'Income Sheet - Stakeholder  5'!C11</f>
        <v>0</v>
      </c>
      <c r="E14" s="150">
        <f>'Income Sheet - Stakeholder 1'!E11+'Income Sheet - Stakeholder  2'!E11+'Income Sheet - Stakeholder  3'!E11+'Income Sheet - Stakeholder  4'!E11+'Income Sheet - Stakeholder  5'!E11</f>
        <v>0</v>
      </c>
      <c r="F14" s="152"/>
      <c r="G14" s="150">
        <f>'Income Sheet - Stakeholder 1'!G11+'Income Sheet - Stakeholder  2'!G11+'Income Sheet - Stakeholder  3'!G11+'Income Sheet - Stakeholder  4'!G11+'Income Sheet - Stakeholder  5'!G11</f>
        <v>0</v>
      </c>
      <c r="H14" s="152"/>
      <c r="T14" t="s">
        <v>247</v>
      </c>
    </row>
    <row r="15" spans="1:23">
      <c r="A15" s="147"/>
      <c r="B15" s="149" t="s">
        <v>220</v>
      </c>
      <c r="C15" s="151">
        <f>SUM(C11:C14)</f>
        <v>338710.18483736296</v>
      </c>
      <c r="E15" s="151">
        <f t="shared" ref="E15" si="0">SUM(E11:E14)</f>
        <v>367858.88393811905</v>
      </c>
      <c r="F15" s="152"/>
      <c r="G15" s="151">
        <f t="shared" ref="G15" si="1">SUM(G11:G14)</f>
        <v>318062.55318560236</v>
      </c>
      <c r="H15" s="152"/>
      <c r="U15" s="154">
        <f>G7</f>
        <v>2011</v>
      </c>
      <c r="V15" s="154">
        <f>E7</f>
        <v>2012</v>
      </c>
      <c r="W15" s="154">
        <f>C7</f>
        <v>2013</v>
      </c>
    </row>
    <row r="16" spans="1:23">
      <c r="E16" s="24"/>
      <c r="F16" s="152"/>
      <c r="G16" s="24"/>
      <c r="H16" s="152"/>
      <c r="T16" t="str">
        <f>A24</f>
        <v>Gross Profit</v>
      </c>
      <c r="U16" s="157">
        <f>H24</f>
        <v>0.21399109233046087</v>
      </c>
      <c r="V16" s="157">
        <f>F24</f>
        <v>0.2252463853830903</v>
      </c>
      <c r="W16" s="157">
        <f>D24</f>
        <v>0.19400120745974836</v>
      </c>
    </row>
    <row r="17" spans="1:23">
      <c r="A17" s="149" t="s">
        <v>221</v>
      </c>
      <c r="B17" s="147"/>
      <c r="C17" s="150"/>
      <c r="E17" s="150"/>
      <c r="F17" s="152"/>
      <c r="G17" s="150"/>
      <c r="H17" s="152"/>
      <c r="T17" t="str">
        <f>A36</f>
        <v>Operating profit / EBIDA</v>
      </c>
      <c r="U17" s="157">
        <f>H36</f>
        <v>0.13788761109432354</v>
      </c>
      <c r="V17" s="157">
        <f>F36</f>
        <v>0.14177117880323725</v>
      </c>
      <c r="W17" s="157">
        <f>D36</f>
        <v>0.10737378289473179</v>
      </c>
    </row>
    <row r="18" spans="1:23">
      <c r="A18" s="147"/>
      <c r="B18" s="147" t="s">
        <v>234</v>
      </c>
      <c r="C18" s="150">
        <f>'Income Sheet - Stakeholder 1'!C15+'Income Sheet - Stakeholder  2'!C15+'Income Sheet - Stakeholder  3'!C15+'Income Sheet - Stakeholder  4'!C15+'Income Sheet - Stakeholder  5'!C15</f>
        <v>270000</v>
      </c>
      <c r="E18" s="150">
        <f>'Income Sheet - Stakeholder 1'!E15+'Income Sheet - Stakeholder  2'!E15+'Income Sheet - Stakeholder  3'!E15+'Income Sheet - Stakeholder  4'!E15+'Income Sheet - Stakeholder  5'!E15</f>
        <v>282000</v>
      </c>
      <c r="F18" s="152"/>
      <c r="G18" s="150">
        <f>'Income Sheet - Stakeholder 1'!G15+'Income Sheet - Stakeholder  2'!G15+'Income Sheet - Stakeholder  3'!G15+'Income Sheet - Stakeholder  4'!G15+'Income Sheet - Stakeholder  5'!G15</f>
        <v>245000</v>
      </c>
      <c r="H18" s="152"/>
      <c r="T18" t="str">
        <f>A40</f>
        <v>Earnings before tax / EBIT / PBIT</v>
      </c>
      <c r="U18" s="157">
        <f>H40</f>
        <v>0.10011481081879628</v>
      </c>
      <c r="V18" s="157">
        <f>F40</f>
        <v>0.10340099918266267</v>
      </c>
      <c r="W18" s="157">
        <f>D40</f>
        <v>7.1825811801626574E-2</v>
      </c>
    </row>
    <row r="19" spans="1:23">
      <c r="A19" s="147"/>
      <c r="B19" s="147" t="s">
        <v>226</v>
      </c>
      <c r="C19" s="150">
        <f>'Income Sheet - Stakeholder 1'!C16+'Income Sheet - Stakeholder  2'!C16+'Income Sheet - Stakeholder  3'!C16+'Income Sheet - Stakeholder  4'!C16+'Income Sheet - Stakeholder  5'!C16</f>
        <v>0</v>
      </c>
      <c r="E19" s="150">
        <f>'Income Sheet - Stakeholder 1'!E16+'Income Sheet - Stakeholder  2'!E16+'Income Sheet - Stakeholder  3'!E16+'Income Sheet - Stakeholder  4'!E16+'Income Sheet - Stakeholder  5'!E16</f>
        <v>0</v>
      </c>
      <c r="F19" s="152"/>
      <c r="G19" s="150">
        <f>'Income Sheet - Stakeholder 1'!G16+'Income Sheet - Stakeholder  2'!G16+'Income Sheet - Stakeholder  3'!G16+'Income Sheet - Stakeholder  4'!G16+'Income Sheet - Stakeholder  5'!G16</f>
        <v>0</v>
      </c>
      <c r="H19" s="152"/>
      <c r="T19" t="str">
        <f>B44</f>
        <v>Financial Expenses</v>
      </c>
      <c r="U19" s="157">
        <f>H44</f>
        <v>4.027316212593237E-2</v>
      </c>
      <c r="V19" s="157">
        <f>F44</f>
        <v>3.845900513586898E-2</v>
      </c>
      <c r="W19" s="157">
        <f>D44</f>
        <v>2.4027212402156634E-2</v>
      </c>
    </row>
    <row r="20" spans="1:23">
      <c r="A20" s="147"/>
      <c r="B20" s="147" t="s">
        <v>227</v>
      </c>
      <c r="C20" s="150">
        <f>'Income Sheet - Stakeholder 1'!C17+'Income Sheet - Stakeholder  2'!C17+'Income Sheet - Stakeholder  3'!C17+'Income Sheet - Stakeholder  4'!C17+'Income Sheet - Stakeholder  5'!C17</f>
        <v>0</v>
      </c>
      <c r="E20" s="150">
        <f>'Income Sheet - Stakeholder 1'!E17+'Income Sheet - Stakeholder  2'!E17+'Income Sheet - Stakeholder  3'!E17+'Income Sheet - Stakeholder  4'!E17+'Income Sheet - Stakeholder  5'!E17</f>
        <v>0</v>
      </c>
      <c r="F20" s="152"/>
      <c r="G20" s="150">
        <f>'Income Sheet - Stakeholder 1'!G17+'Income Sheet - Stakeholder  2'!G17+'Income Sheet - Stakeholder  3'!G17+'Income Sheet - Stakeholder  4'!G17+'Income Sheet - Stakeholder  5'!G17</f>
        <v>0</v>
      </c>
      <c r="H20" s="152"/>
      <c r="T20" t="str">
        <f>A46</f>
        <v>Net income / Net profit</v>
      </c>
      <c r="U20" s="157">
        <f>H46</f>
        <v>5.9841648692863909E-2</v>
      </c>
      <c r="V20" s="157">
        <f>F46</f>
        <v>6.4941994046793697E-2</v>
      </c>
      <c r="W20" s="157">
        <f>D46</f>
        <v>4.7798599399469947E-2</v>
      </c>
    </row>
    <row r="21" spans="1:23">
      <c r="A21" s="147"/>
      <c r="B21" s="147" t="str">
        <f>'Income Sheet - Stakeholder 1'!B18</f>
        <v>Other (Specify)</v>
      </c>
      <c r="C21" s="150">
        <f>'Income Sheet - Stakeholder 1'!C18+'Income Sheet - Stakeholder  2'!C18+'Income Sheet - Stakeholder  3'!C18+'Income Sheet - Stakeholder  4'!C18+'Income Sheet - Stakeholder  5'!C18</f>
        <v>3000</v>
      </c>
      <c r="E21" s="150">
        <f>'Income Sheet - Stakeholder 1'!E18+'Income Sheet - Stakeholder  2'!E18+'Income Sheet - Stakeholder  3'!E18+'Income Sheet - Stakeholder  4'!E18+'Income Sheet - Stakeholder  5'!E18</f>
        <v>3000</v>
      </c>
      <c r="F21" s="152"/>
      <c r="G21" s="150">
        <f>'Income Sheet - Stakeholder 1'!G18+'Income Sheet - Stakeholder  2'!G18+'Income Sheet - Stakeholder  3'!G18+'Income Sheet - Stakeholder  4'!G18+'Income Sheet - Stakeholder  5'!G18</f>
        <v>5000</v>
      </c>
      <c r="H21" s="152"/>
    </row>
    <row r="22" spans="1:23">
      <c r="A22" s="147"/>
      <c r="B22" s="147" t="str">
        <f>'Income Sheet - Stakeholder 1'!B19</f>
        <v>Other (Specify)</v>
      </c>
      <c r="C22" s="150">
        <f>'Income Sheet - Stakeholder 1'!C19+'Income Sheet - Stakeholder  2'!C19+'Income Sheet - Stakeholder  3'!C19+'Income Sheet - Stakeholder  4'!C19+'Income Sheet - Stakeholder  5'!C19</f>
        <v>0</v>
      </c>
      <c r="E22" s="150">
        <f>'Income Sheet - Stakeholder 1'!E19+'Income Sheet - Stakeholder  2'!E19+'Income Sheet - Stakeholder  3'!E19+'Income Sheet - Stakeholder  4'!E19+'Income Sheet - Stakeholder  5'!E19</f>
        <v>0</v>
      </c>
      <c r="F22" s="152"/>
      <c r="G22" s="150">
        <f>'Income Sheet - Stakeholder 1'!G19+'Income Sheet - Stakeholder  2'!G19+'Income Sheet - Stakeholder  3'!G19+'Income Sheet - Stakeholder  4'!G19+'Income Sheet - Stakeholder  5'!G19</f>
        <v>0</v>
      </c>
      <c r="H22" s="152"/>
    </row>
    <row r="23" spans="1:23">
      <c r="A23" s="147"/>
      <c r="B23" s="149" t="s">
        <v>229</v>
      </c>
      <c r="C23" s="151">
        <f>SUM(C18:C22)</f>
        <v>273000</v>
      </c>
      <c r="E23" s="151">
        <f t="shared" ref="E23" si="2">SUM(E18:E22)</f>
        <v>285000</v>
      </c>
      <c r="F23" s="152"/>
      <c r="G23" s="151">
        <f t="shared" ref="G23" si="3">SUM(G18:G22)</f>
        <v>250000</v>
      </c>
      <c r="H23" s="152"/>
    </row>
    <row r="24" spans="1:23">
      <c r="A24" s="149" t="s">
        <v>235</v>
      </c>
      <c r="B24" s="149"/>
      <c r="C24" s="151">
        <f>C15-C23</f>
        <v>65710.184837362962</v>
      </c>
      <c r="D24" s="152">
        <f>C24/C15</f>
        <v>0.19400120745974836</v>
      </c>
      <c r="E24" s="151">
        <f t="shared" ref="E24" si="4">E15-E23</f>
        <v>82858.883938119048</v>
      </c>
      <c r="F24" s="152">
        <f t="shared" ref="F24" si="5">E24/E15</f>
        <v>0.2252463853830903</v>
      </c>
      <c r="G24" s="151">
        <f t="shared" ref="G24" si="6">G15-G23</f>
        <v>68062.553185602359</v>
      </c>
      <c r="H24" s="152">
        <f t="shared" ref="H24" si="7">G24/G15</f>
        <v>0.21399109233046087</v>
      </c>
    </row>
    <row r="25" spans="1:23">
      <c r="E25" s="24"/>
      <c r="F25" s="152"/>
      <c r="G25" s="24"/>
      <c r="H25" s="152"/>
    </row>
    <row r="26" spans="1:23">
      <c r="A26" s="146" t="s">
        <v>222</v>
      </c>
      <c r="B26" s="147"/>
      <c r="C26" s="150"/>
      <c r="E26" s="150"/>
      <c r="F26" s="152"/>
      <c r="G26" s="150"/>
      <c r="H26" s="152"/>
      <c r="T26" t="s">
        <v>248</v>
      </c>
    </row>
    <row r="27" spans="1:23">
      <c r="A27" s="147"/>
      <c r="B27" s="147" t="s">
        <v>223</v>
      </c>
      <c r="C27" s="150">
        <f>'Income Sheet - Stakeholder 1'!C24+'Income Sheet - Stakeholder  2'!C24+'Income Sheet - Stakeholder  3'!C24+'Income Sheet - Stakeholder  4'!C24+'Income Sheet - Stakeholder  5'!C24</f>
        <v>0</v>
      </c>
      <c r="E27" s="150">
        <f>'Income Sheet - Stakeholder 1'!E24+'Income Sheet - Stakeholder  2'!E24+'Income Sheet - Stakeholder  3'!E24+'Income Sheet - Stakeholder  4'!E24+'Income Sheet - Stakeholder  5'!E24</f>
        <v>0</v>
      </c>
      <c r="F27" s="152"/>
      <c r="G27" s="150">
        <f>'Income Sheet - Stakeholder 1'!G24+'Income Sheet - Stakeholder  2'!G24+'Income Sheet - Stakeholder  3'!G24+'Income Sheet - Stakeholder  4'!G24+'Income Sheet - Stakeholder  5'!G24</f>
        <v>0</v>
      </c>
      <c r="H27" s="152"/>
      <c r="U27" s="156">
        <f>U15</f>
        <v>2011</v>
      </c>
      <c r="V27" s="156">
        <f t="shared" ref="V27:W27" si="8">V15</f>
        <v>2012</v>
      </c>
      <c r="W27" s="156">
        <f t="shared" si="8"/>
        <v>2013</v>
      </c>
    </row>
    <row r="28" spans="1:23">
      <c r="A28" s="147"/>
      <c r="B28" s="147" t="s">
        <v>224</v>
      </c>
      <c r="C28" s="150">
        <f>'Income Sheet - Stakeholder 1'!C25+'Income Sheet - Stakeholder  2'!C25+'Income Sheet - Stakeholder  3'!C25+'Income Sheet - Stakeholder  4'!C25+'Income Sheet - Stakeholder  5'!C25</f>
        <v>21341.590986401476</v>
      </c>
      <c r="E28" s="150">
        <f>'Income Sheet - Stakeholder 1'!E25+'Income Sheet - Stakeholder  2'!E25+'Income Sheet - Stakeholder  3'!E25+'Income Sheet - Stakeholder  4'!E25+'Income Sheet - Stakeholder  5'!E25</f>
        <v>24207.096328968677</v>
      </c>
      <c r="F28" s="152"/>
      <c r="G28" s="150">
        <f>'Income Sheet - Stakeholder 1'!G25+'Income Sheet - Stakeholder  2'!G25+'Income Sheet - Stakeholder  3'!G25+'Income Sheet - Stakeholder  4'!G25+'Income Sheet - Stakeholder  5'!G25</f>
        <v>18205.667548278416</v>
      </c>
      <c r="H28" s="152"/>
      <c r="T28" s="156" t="str">
        <f>T16</f>
        <v>Gross Profit</v>
      </c>
      <c r="V28" s="56">
        <f>-(G24-E24)/G24</f>
        <v>0.2173931194171928</v>
      </c>
      <c r="W28" s="56">
        <f>-(E24-C24)/E24</f>
        <v>-0.20696270919559012</v>
      </c>
    </row>
    <row r="29" spans="1:23">
      <c r="A29" s="147"/>
      <c r="B29" s="147" t="s">
        <v>225</v>
      </c>
      <c r="C29" s="150">
        <f>'Income Sheet - Stakeholder 1'!C26+'Income Sheet - Stakeholder  2'!C26+'Income Sheet - Stakeholder  3'!C26+'Income Sheet - Stakeholder  4'!C26+'Income Sheet - Stakeholder  5'!C26</f>
        <v>2000</v>
      </c>
      <c r="E29" s="150">
        <f>'Income Sheet - Stakeholder 1'!E26+'Income Sheet - Stakeholder  2'!E26+'Income Sheet - Stakeholder  3'!E26+'Income Sheet - Stakeholder  4'!E26+'Income Sheet - Stakeholder  5'!E26</f>
        <v>2000</v>
      </c>
      <c r="F29" s="152"/>
      <c r="G29" s="150">
        <f>'Income Sheet - Stakeholder 1'!G26+'Income Sheet - Stakeholder  2'!G26+'Income Sheet - Stakeholder  3'!G26+'Income Sheet - Stakeholder  4'!G26+'Income Sheet - Stakeholder  5'!G26</f>
        <v>2000</v>
      </c>
      <c r="H29" s="152"/>
      <c r="T29" s="156" t="str">
        <f t="shared" ref="T29:T32" si="9">T17</f>
        <v>Operating profit / EBIDA</v>
      </c>
      <c r="V29" s="56">
        <f>-(G36-E36)/G36</f>
        <v>0.18913568191826058</v>
      </c>
      <c r="W29" s="56">
        <f>-(E36-C36)/E36</f>
        <v>-0.30263955430397599</v>
      </c>
    </row>
    <row r="30" spans="1:23">
      <c r="A30" s="147"/>
      <c r="B30" s="147" t="s">
        <v>231</v>
      </c>
      <c r="C30" s="150">
        <f>'Income Sheet - Stakeholder 1'!C27+'Income Sheet - Stakeholder  2'!C27+'Income Sheet - Stakeholder  3'!C27+'Income Sheet - Stakeholder  4'!C27+'Income Sheet - Stakeholder  5'!C27</f>
        <v>0</v>
      </c>
      <c r="E30" s="150">
        <f>'Income Sheet - Stakeholder 1'!E27+'Income Sheet - Stakeholder  2'!E27+'Income Sheet - Stakeholder  3'!E27+'Income Sheet - Stakeholder  4'!E27+'Income Sheet - Stakeholder  5'!E27</f>
        <v>0</v>
      </c>
      <c r="F30" s="152"/>
      <c r="G30" s="150">
        <f>'Income Sheet - Stakeholder 1'!G27+'Income Sheet - Stakeholder  2'!G27+'Income Sheet - Stakeholder  3'!G27+'Income Sheet - Stakeholder  4'!G27+'Income Sheet - Stakeholder  5'!G27</f>
        <v>0</v>
      </c>
      <c r="H30" s="152"/>
      <c r="T30" s="156" t="str">
        <f t="shared" si="9"/>
        <v>Earnings before tax / EBIT / PBIT</v>
      </c>
      <c r="V30" s="56">
        <f>-(G40-E40)/G40</f>
        <v>0.19452463970229489</v>
      </c>
      <c r="W30" s="56">
        <f>-(E40-C40)/E40</f>
        <v>-0.36040830662412165</v>
      </c>
    </row>
    <row r="31" spans="1:23">
      <c r="A31" s="147"/>
      <c r="B31" s="147" t="s">
        <v>233</v>
      </c>
      <c r="C31" s="150">
        <f>'Income Sheet - Stakeholder 1'!C28+'Income Sheet - Stakeholder  2'!C28+'Income Sheet - Stakeholder  3'!C28+'Income Sheet - Stakeholder  4'!C28+'Income Sheet - Stakeholder  5'!C28</f>
        <v>0</v>
      </c>
      <c r="E31" s="150">
        <f>'Income Sheet - Stakeholder 1'!E28+'Income Sheet - Stakeholder  2'!E28+'Income Sheet - Stakeholder  3'!E28+'Income Sheet - Stakeholder  4'!E28+'Income Sheet - Stakeholder  5'!E28</f>
        <v>0</v>
      </c>
      <c r="F31" s="152"/>
      <c r="G31" s="150">
        <f>'Income Sheet - Stakeholder 1'!G28+'Income Sheet - Stakeholder  2'!G28+'Income Sheet - Stakeholder  3'!G28+'Income Sheet - Stakeholder  4'!G28+'Income Sheet - Stakeholder  5'!G28</f>
        <v>0</v>
      </c>
      <c r="H31" s="152"/>
      <c r="T31" s="156" t="str">
        <f t="shared" si="9"/>
        <v>Financial Expenses</v>
      </c>
      <c r="V31" s="56">
        <f>-(G44-E44)/G44</f>
        <v>0.10446262330157222</v>
      </c>
      <c r="W31" s="56">
        <f>-(E44-C44)/E44</f>
        <v>-0.42475566702352752</v>
      </c>
    </row>
    <row r="32" spans="1:23">
      <c r="A32" s="147"/>
      <c r="B32" s="147" t="str">
        <f>'Income Sheet - Stakeholder 1'!B29</f>
        <v>Other (Specify)</v>
      </c>
      <c r="C32" s="150">
        <f>'Income Sheet - Stakeholder 1'!C29+'Income Sheet - Stakeholder  2'!C29+'Income Sheet - Stakeholder  3'!C29+'Income Sheet - Stakeholder  4'!C29+'Income Sheet - Stakeholder  5'!C29</f>
        <v>6000</v>
      </c>
      <c r="E32" s="150">
        <f>'Income Sheet - Stakeholder 1'!E29+'Income Sheet - Stakeholder  2'!E29+'Income Sheet - Stakeholder  3'!E29+'Income Sheet - Stakeholder  4'!E29+'Income Sheet - Stakeholder  5'!E29</f>
        <v>4500</v>
      </c>
      <c r="F32" s="152"/>
      <c r="G32" s="150">
        <f>'Income Sheet - Stakeholder 1'!G29+'Income Sheet - Stakeholder  2'!G29+'Income Sheet - Stakeholder  3'!G29+'Income Sheet - Stakeholder  4'!G29+'Income Sheet - Stakeholder  5'!G29</f>
        <v>4000</v>
      </c>
      <c r="H32" s="152"/>
      <c r="T32" s="156" t="str">
        <f t="shared" si="9"/>
        <v>Net income / Net profit</v>
      </c>
      <c r="V32" s="56">
        <f>-(G46-E46)/G46</f>
        <v>0.25513597423471412</v>
      </c>
      <c r="W32" s="56">
        <f>(E46-C46)/E46</f>
        <v>0.32230144679630052</v>
      </c>
    </row>
    <row r="33" spans="1:23">
      <c r="A33" s="147"/>
      <c r="B33" s="147" t="str">
        <f>'Income Sheet - Stakeholder 1'!B30</f>
        <v>Other (Specify)</v>
      </c>
      <c r="C33" s="150">
        <f>'Income Sheet - Stakeholder 1'!C30+'Income Sheet - Stakeholder  2'!C30+'Income Sheet - Stakeholder  3'!C30+'Income Sheet - Stakeholder  4'!C30+'Income Sheet - Stakeholder  5'!C30</f>
        <v>0</v>
      </c>
      <c r="E33" s="150">
        <f>'Income Sheet - Stakeholder 1'!E30+'Income Sheet - Stakeholder  2'!E30+'Income Sheet - Stakeholder  3'!E30+'Income Sheet - Stakeholder  4'!E30+'Income Sheet - Stakeholder  5'!E30</f>
        <v>0</v>
      </c>
      <c r="F33" s="152"/>
      <c r="G33" s="150">
        <f>'Income Sheet - Stakeholder 1'!G30+'Income Sheet - Stakeholder  2'!G30+'Income Sheet - Stakeholder  3'!G30+'Income Sheet - Stakeholder  4'!G30+'Income Sheet - Stakeholder  5'!G30</f>
        <v>0</v>
      </c>
      <c r="H33" s="152"/>
    </row>
    <row r="34" spans="1:23">
      <c r="A34" s="147"/>
      <c r="B34" s="149" t="s">
        <v>230</v>
      </c>
      <c r="C34" s="151">
        <f>SUM(C27:C33)</f>
        <v>29341.590986401476</v>
      </c>
      <c r="E34" s="151">
        <f t="shared" ref="E34" si="10">SUM(E27:E33)</f>
        <v>30707.096328968677</v>
      </c>
      <c r="F34" s="152"/>
      <c r="G34" s="151">
        <f t="shared" ref="G34" si="11">SUM(G27:G33)</f>
        <v>24205.667548278416</v>
      </c>
      <c r="H34" s="152"/>
    </row>
    <row r="35" spans="1:23">
      <c r="E35" s="24"/>
      <c r="F35" s="152"/>
      <c r="G35" s="24"/>
      <c r="H35" s="152"/>
      <c r="V35" s="155"/>
    </row>
    <row r="36" spans="1:23">
      <c r="A36" s="149" t="s">
        <v>246</v>
      </c>
      <c r="B36" s="147"/>
      <c r="C36" s="151">
        <f>C24-C34</f>
        <v>36368.593850961486</v>
      </c>
      <c r="D36" s="152">
        <f>C36/C15</f>
        <v>0.10737378289473179</v>
      </c>
      <c r="E36" s="151">
        <f t="shared" ref="E36" si="12">E24-E34</f>
        <v>52151.787609150371</v>
      </c>
      <c r="F36" s="152">
        <f t="shared" ref="F36" si="13">E36/E15</f>
        <v>0.14177117880323725</v>
      </c>
      <c r="G36" s="151">
        <f t="shared" ref="G36" si="14">G24-G34</f>
        <v>43856.88563732394</v>
      </c>
      <c r="H36" s="152">
        <f t="shared" ref="H36" si="15">G36/G15</f>
        <v>0.13788761109432354</v>
      </c>
      <c r="V36" s="64"/>
      <c r="W36" s="155"/>
    </row>
    <row r="37" spans="1:23">
      <c r="E37" s="24"/>
      <c r="F37" s="152"/>
      <c r="G37" s="24"/>
      <c r="H37" s="152"/>
      <c r="V37" s="56"/>
    </row>
    <row r="38" spans="1:23">
      <c r="A38" s="147"/>
      <c r="B38" s="147" t="s">
        <v>236</v>
      </c>
      <c r="C38" s="150">
        <f>'Income Sheet - Stakeholder 1'!C35+'Income Sheet - Stakeholder  2'!C35+'Income Sheet - Stakeholder  3'!C35+'Income Sheet - Stakeholder  4'!C35+'Income Sheet - Stakeholder  5'!C35</f>
        <v>12040.459859538903</v>
      </c>
      <c r="E38" s="150">
        <f>'Income Sheet - Stakeholder 1'!E35+'Income Sheet - Stakeholder  2'!E35+'Income Sheet - Stakeholder  3'!E35+'Income Sheet - Stakeholder  4'!E35+'Income Sheet - Stakeholder  5'!E35</f>
        <v>14114.811451729722</v>
      </c>
      <c r="F38" s="152"/>
      <c r="G38" s="150">
        <f>'Income Sheet - Stakeholder 1'!G35+'Income Sheet - Stakeholder  2'!G35+'Income Sheet - Stakeholder  3'!G35+'Income Sheet - Stakeholder  4'!G35+'Income Sheet - Stakeholder  5'!G35</f>
        <v>12014.113296604031</v>
      </c>
      <c r="H38" s="152"/>
    </row>
    <row r="39" spans="1:23">
      <c r="E39" s="24"/>
      <c r="F39" s="152"/>
      <c r="G39" s="24"/>
      <c r="H39" s="152"/>
    </row>
    <row r="40" spans="1:23">
      <c r="A40" s="149" t="s">
        <v>241</v>
      </c>
      <c r="B40" s="147"/>
      <c r="C40" s="151">
        <f>C36-C38</f>
        <v>24328.133991422583</v>
      </c>
      <c r="D40" s="152">
        <f>C40/C15</f>
        <v>7.1825811801626574E-2</v>
      </c>
      <c r="E40" s="151">
        <f t="shared" ref="E40" si="16">E36-E38</f>
        <v>38036.97615742065</v>
      </c>
      <c r="F40" s="152">
        <f t="shared" ref="F40" si="17">E40/E15</f>
        <v>0.10340099918266267</v>
      </c>
      <c r="G40" s="151">
        <f t="shared" ref="G40" si="18">G36-G38</f>
        <v>31842.772340719908</v>
      </c>
      <c r="H40" s="152">
        <f t="shared" ref="H40" si="19">G40/G15</f>
        <v>0.10011481081879628</v>
      </c>
    </row>
    <row r="41" spans="1:23">
      <c r="E41" s="24"/>
      <c r="F41" s="152"/>
      <c r="G41" s="24"/>
      <c r="H41" s="152"/>
    </row>
    <row r="42" spans="1:23">
      <c r="A42" s="147"/>
      <c r="B42" s="147" t="s">
        <v>237</v>
      </c>
      <c r="C42" s="150">
        <f>'Income Sheet - Stakeholder 1'!C39+'Income Sheet - Stakeholder  2'!C39+'Income Sheet - Stakeholder  3'!C39+'Income Sheet - Stakeholder  4'!C39+'Income Sheet - Stakeholder  5'!C39</f>
        <v>4138.2615538610526</v>
      </c>
      <c r="E42" s="150">
        <f>'Income Sheet - Stakeholder 1'!E39+'Income Sheet - Stakeholder  2'!E39+'Income Sheet - Stakeholder  3'!E39+'Income Sheet - Stakeholder  4'!E39+'Income Sheet - Stakeholder  5'!E39</f>
        <v>10147.486706651151</v>
      </c>
      <c r="F42" s="152"/>
      <c r="G42" s="150">
        <f>'Income Sheet - Stakeholder 1'!G39+'Income Sheet - Stakeholder  2'!G39+'Income Sheet - Stakeholder  3'!G39+'Income Sheet - Stakeholder  4'!G39+'Income Sheet - Stakeholder  5'!G39</f>
        <v>6809.3847706317492</v>
      </c>
      <c r="H42" s="152"/>
    </row>
    <row r="43" spans="1:23">
      <c r="A43" s="147"/>
      <c r="B43" s="147" t="s">
        <v>238</v>
      </c>
      <c r="C43" s="150">
        <f>'Income Sheet - Stakeholder 1'!C40+'Income Sheet - Stakeholder  2'!C40+'Income Sheet - Stakeholder  3'!C40+'Income Sheet - Stakeholder  4'!C40+'Income Sheet - Stakeholder  5'!C40</f>
        <v>4000</v>
      </c>
      <c r="E43" s="150">
        <f>'Income Sheet - Stakeholder 1'!E40+'Income Sheet - Stakeholder  2'!E40+'Income Sheet - Stakeholder  3'!E40+'Income Sheet - Stakeholder  4'!E40+'Income Sheet - Stakeholder  5'!E40</f>
        <v>4000</v>
      </c>
      <c r="F43" s="152"/>
      <c r="G43" s="150">
        <f>'Income Sheet - Stakeholder 1'!G40+'Income Sheet - Stakeholder  2'!G40+'Income Sheet - Stakeholder  3'!G40+'Income Sheet - Stakeholder  4'!G40+'Income Sheet - Stakeholder  5'!G40</f>
        <v>6000</v>
      </c>
      <c r="H43" s="152"/>
    </row>
    <row r="44" spans="1:23">
      <c r="A44" s="147"/>
      <c r="B44" s="149" t="s">
        <v>239</v>
      </c>
      <c r="C44" s="151">
        <f>SUM(C42:C43)</f>
        <v>8138.2615538610526</v>
      </c>
      <c r="D44" s="152">
        <f>C44/C15</f>
        <v>2.4027212402156634E-2</v>
      </c>
      <c r="E44" s="151">
        <f t="shared" ref="E44" si="20">SUM(E42:E43)</f>
        <v>14147.486706651151</v>
      </c>
      <c r="F44" s="152">
        <f t="shared" ref="F44" si="21">E44/E15</f>
        <v>3.845900513586898E-2</v>
      </c>
      <c r="G44" s="151">
        <f t="shared" ref="G44" si="22">SUM(G42:G43)</f>
        <v>12809.38477063175</v>
      </c>
      <c r="H44" s="152">
        <f t="shared" ref="H44" si="23">G44/G15</f>
        <v>4.027316212593237E-2</v>
      </c>
    </row>
    <row r="45" spans="1:23">
      <c r="E45" s="24"/>
      <c r="F45" s="152"/>
      <c r="G45" s="24"/>
      <c r="H45" s="152"/>
    </row>
    <row r="46" spans="1:23">
      <c r="A46" s="149" t="s">
        <v>240</v>
      </c>
      <c r="B46" s="149"/>
      <c r="C46" s="158">
        <f>C40-C44</f>
        <v>16189.872437561531</v>
      </c>
      <c r="D46" s="152">
        <f>C46/C15</f>
        <v>4.7798599399469947E-2</v>
      </c>
      <c r="E46" s="151">
        <f t="shared" ref="E46" si="24">E40-E44</f>
        <v>23889.489450769499</v>
      </c>
      <c r="F46" s="152">
        <f t="shared" ref="F46" si="25">E46/E15</f>
        <v>6.4941994046793697E-2</v>
      </c>
      <c r="G46" s="158">
        <f t="shared" ref="G46" si="26">G40-G44</f>
        <v>19033.387570088158</v>
      </c>
      <c r="H46" s="152">
        <f t="shared" ref="H46" si="27">G46/G15</f>
        <v>5.9841648692863909E-2</v>
      </c>
    </row>
    <row r="47" spans="1:23">
      <c r="A47" s="1"/>
      <c r="B47" s="1"/>
    </row>
  </sheetData>
  <sheetProtection algorithmName="SHA-512" hashValue="ozLo0+pYQtlA19CCR9pEbzPwz2qc5mijrZCzOpr6OxOKCSwWmLq5xd2qMCGmlSOl5vLqyrqEdUVXNVb/c1SAHA==" saltValue="L6+DAhw4n94Rzm1+FPK9aA==" spinCount="100000" sheet="1" objects="1" scenarios="1"/>
  <mergeCells count="9">
    <mergeCell ref="E5:H5"/>
    <mergeCell ref="E6:H6"/>
    <mergeCell ref="A1:D6"/>
    <mergeCell ref="C7:D7"/>
    <mergeCell ref="E7:F7"/>
    <mergeCell ref="G7:H7"/>
    <mergeCell ref="E2:H2"/>
    <mergeCell ref="E3:H3"/>
    <mergeCell ref="E4:H4"/>
  </mergeCells>
  <conditionalFormatting sqref="H46 F46 D46 H44 F44 D44 H40 F40 D40 D36 F36 H36 H24 F24 D24">
    <cfRule type="cellIs" dxfId="53" priority="1" operator="greaterThanOrEqual">
      <formula>0.025</formula>
    </cfRule>
    <cfRule type="cellIs" dxfId="52" priority="2" operator="between">
      <formula>0</formula>
      <formula>2</formula>
    </cfRule>
    <cfRule type="cellIs" dxfId="51" priority="3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  <pageSetUpPr fitToPage="1"/>
  </sheetPr>
  <dimension ref="A4:AI41"/>
  <sheetViews>
    <sheetView workbookViewId="0">
      <selection activeCell="F22" sqref="F22"/>
    </sheetView>
  </sheetViews>
  <sheetFormatPr defaultColWidth="9.1171875" defaultRowHeight="14.35"/>
  <cols>
    <col min="1" max="1" width="33.5859375" style="97" customWidth="1"/>
    <col min="2" max="2" width="13.1171875" style="97" customWidth="1"/>
    <col min="3" max="3" width="31.5859375" style="97" customWidth="1"/>
    <col min="4" max="4" width="11" style="97" customWidth="1"/>
    <col min="5" max="16384" width="9.1171875" style="97"/>
  </cols>
  <sheetData>
    <row r="4" spans="1:35">
      <c r="A4" s="102" t="s">
        <v>27</v>
      </c>
      <c r="B4" s="290">
        <v>2015</v>
      </c>
    </row>
    <row r="5" spans="1:35">
      <c r="A5" s="102" t="s">
        <v>72</v>
      </c>
      <c r="B5" s="290">
        <v>2018</v>
      </c>
    </row>
    <row r="6" spans="1:35">
      <c r="A6" s="102" t="s">
        <v>125</v>
      </c>
      <c r="B6" s="290">
        <v>8</v>
      </c>
    </row>
    <row r="7" spans="1:35">
      <c r="A7" s="102" t="s">
        <v>127</v>
      </c>
      <c r="B7" s="537">
        <f>1-B6/12</f>
        <v>0.33333333333333337</v>
      </c>
      <c r="C7" s="387"/>
    </row>
    <row r="8" spans="1:35">
      <c r="A8" s="102" t="s">
        <v>309</v>
      </c>
      <c r="B8" s="291">
        <v>0.06</v>
      </c>
    </row>
    <row r="9" spans="1:35">
      <c r="A9" s="102" t="s">
        <v>136</v>
      </c>
      <c r="B9" s="291">
        <v>7.4999999999999997E-2</v>
      </c>
    </row>
    <row r="10" spans="1:35">
      <c r="A10" s="102" t="s">
        <v>126</v>
      </c>
      <c r="B10" s="290">
        <v>25</v>
      </c>
    </row>
    <row r="11" spans="1:35">
      <c r="A11" s="102" t="s">
        <v>105</v>
      </c>
      <c r="B11" s="538">
        <v>2.5000000000000001E-2</v>
      </c>
    </row>
    <row r="12" spans="1:35">
      <c r="A12" s="102" t="s">
        <v>130</v>
      </c>
      <c r="B12" s="538">
        <v>0.3</v>
      </c>
    </row>
    <row r="14" spans="1:35">
      <c r="A14" s="407"/>
      <c r="B14" s="408"/>
      <c r="C14" s="411"/>
      <c r="D14" s="410"/>
      <c r="E14" s="411"/>
      <c r="F14" s="412">
        <f>B4</f>
        <v>2015</v>
      </c>
      <c r="G14" s="413">
        <f>F14+1</f>
        <v>2016</v>
      </c>
      <c r="H14" s="413">
        <f t="shared" ref="H14:AI15" si="0">G14+1</f>
        <v>2017</v>
      </c>
      <c r="I14" s="413">
        <f t="shared" si="0"/>
        <v>2018</v>
      </c>
      <c r="J14" s="413">
        <f t="shared" si="0"/>
        <v>2019</v>
      </c>
      <c r="K14" s="413">
        <f t="shared" si="0"/>
        <v>2020</v>
      </c>
      <c r="L14" s="413">
        <f t="shared" si="0"/>
        <v>2021</v>
      </c>
      <c r="M14" s="413">
        <f t="shared" si="0"/>
        <v>2022</v>
      </c>
      <c r="N14" s="413">
        <f t="shared" si="0"/>
        <v>2023</v>
      </c>
      <c r="O14" s="413">
        <f t="shared" si="0"/>
        <v>2024</v>
      </c>
      <c r="P14" s="413">
        <f t="shared" si="0"/>
        <v>2025</v>
      </c>
      <c r="Q14" s="413">
        <f t="shared" si="0"/>
        <v>2026</v>
      </c>
      <c r="R14" s="413">
        <f t="shared" si="0"/>
        <v>2027</v>
      </c>
      <c r="S14" s="413">
        <f t="shared" si="0"/>
        <v>2028</v>
      </c>
      <c r="T14" s="413">
        <f t="shared" si="0"/>
        <v>2029</v>
      </c>
      <c r="U14" s="413">
        <f t="shared" si="0"/>
        <v>2030</v>
      </c>
      <c r="V14" s="413">
        <f t="shared" si="0"/>
        <v>2031</v>
      </c>
      <c r="W14" s="413">
        <f t="shared" si="0"/>
        <v>2032</v>
      </c>
      <c r="X14" s="413">
        <f t="shared" si="0"/>
        <v>2033</v>
      </c>
      <c r="Y14" s="413">
        <f t="shared" si="0"/>
        <v>2034</v>
      </c>
      <c r="Z14" s="413">
        <f t="shared" si="0"/>
        <v>2035</v>
      </c>
      <c r="AA14" s="413">
        <f t="shared" si="0"/>
        <v>2036</v>
      </c>
      <c r="AB14" s="413">
        <f t="shared" si="0"/>
        <v>2037</v>
      </c>
      <c r="AC14" s="413">
        <f t="shared" si="0"/>
        <v>2038</v>
      </c>
      <c r="AD14" s="413">
        <f t="shared" si="0"/>
        <v>2039</v>
      </c>
      <c r="AE14" s="413">
        <f t="shared" si="0"/>
        <v>2040</v>
      </c>
      <c r="AF14" s="413">
        <f t="shared" si="0"/>
        <v>2041</v>
      </c>
      <c r="AG14" s="413">
        <f t="shared" si="0"/>
        <v>2042</v>
      </c>
      <c r="AH14" s="413">
        <f t="shared" si="0"/>
        <v>2043</v>
      </c>
      <c r="AI14" s="414">
        <f t="shared" si="0"/>
        <v>2044</v>
      </c>
    </row>
    <row r="15" spans="1:35">
      <c r="A15" s="416"/>
      <c r="B15" s="417"/>
      <c r="C15" s="539"/>
      <c r="D15" s="422"/>
      <c r="E15" s="423"/>
      <c r="F15" s="314">
        <v>1</v>
      </c>
      <c r="G15" s="331">
        <f>F15+1</f>
        <v>2</v>
      </c>
      <c r="H15" s="331">
        <f t="shared" si="0"/>
        <v>3</v>
      </c>
      <c r="I15" s="331">
        <f t="shared" si="0"/>
        <v>4</v>
      </c>
      <c r="J15" s="331">
        <f t="shared" si="0"/>
        <v>5</v>
      </c>
      <c r="K15" s="331">
        <f t="shared" si="0"/>
        <v>6</v>
      </c>
      <c r="L15" s="331">
        <f t="shared" si="0"/>
        <v>7</v>
      </c>
      <c r="M15" s="331">
        <f t="shared" si="0"/>
        <v>8</v>
      </c>
      <c r="N15" s="331">
        <f t="shared" si="0"/>
        <v>9</v>
      </c>
      <c r="O15" s="331">
        <f t="shared" si="0"/>
        <v>10</v>
      </c>
      <c r="P15" s="331">
        <f t="shared" si="0"/>
        <v>11</v>
      </c>
      <c r="Q15" s="331">
        <f t="shared" si="0"/>
        <v>12</v>
      </c>
      <c r="R15" s="331">
        <f t="shared" si="0"/>
        <v>13</v>
      </c>
      <c r="S15" s="331">
        <f t="shared" si="0"/>
        <v>14</v>
      </c>
      <c r="T15" s="331">
        <f t="shared" si="0"/>
        <v>15</v>
      </c>
      <c r="U15" s="331">
        <f t="shared" si="0"/>
        <v>16</v>
      </c>
      <c r="V15" s="331">
        <f t="shared" si="0"/>
        <v>17</v>
      </c>
      <c r="W15" s="331">
        <f t="shared" si="0"/>
        <v>18</v>
      </c>
      <c r="X15" s="331">
        <f t="shared" si="0"/>
        <v>19</v>
      </c>
      <c r="Y15" s="331">
        <f t="shared" si="0"/>
        <v>20</v>
      </c>
      <c r="Z15" s="331">
        <f t="shared" si="0"/>
        <v>21</v>
      </c>
      <c r="AA15" s="331">
        <f t="shared" si="0"/>
        <v>22</v>
      </c>
      <c r="AB15" s="331">
        <f t="shared" si="0"/>
        <v>23</v>
      </c>
      <c r="AC15" s="331">
        <f t="shared" si="0"/>
        <v>24</v>
      </c>
      <c r="AD15" s="331">
        <f t="shared" si="0"/>
        <v>25</v>
      </c>
      <c r="AE15" s="331">
        <f t="shared" si="0"/>
        <v>26</v>
      </c>
      <c r="AF15" s="331">
        <f t="shared" si="0"/>
        <v>27</v>
      </c>
      <c r="AG15" s="331">
        <f t="shared" si="0"/>
        <v>28</v>
      </c>
      <c r="AH15" s="331">
        <f t="shared" si="0"/>
        <v>29</v>
      </c>
      <c r="AI15" s="424">
        <f t="shared" si="0"/>
        <v>30</v>
      </c>
    </row>
    <row r="17" spans="1:35">
      <c r="A17" s="540" t="s">
        <v>66</v>
      </c>
      <c r="B17" s="540" t="s">
        <v>65</v>
      </c>
      <c r="C17" s="540"/>
      <c r="D17" s="540"/>
      <c r="E17" s="540"/>
      <c r="F17" s="347">
        <v>0.12</v>
      </c>
      <c r="G17" s="347">
        <v>0.12</v>
      </c>
      <c r="H17" s="347">
        <v>0.12</v>
      </c>
      <c r="I17" s="347">
        <v>0.12</v>
      </c>
      <c r="J17" s="347">
        <v>0.12</v>
      </c>
      <c r="K17" s="347">
        <v>0.12</v>
      </c>
      <c r="L17" s="347">
        <v>0.12</v>
      </c>
      <c r="M17" s="347">
        <v>0.12</v>
      </c>
      <c r="N17" s="347">
        <v>0.12</v>
      </c>
      <c r="O17" s="347">
        <v>0.12</v>
      </c>
      <c r="P17" s="347">
        <v>6.2E-2</v>
      </c>
      <c r="Q17" s="347">
        <v>6.2E-2</v>
      </c>
      <c r="R17" s="347">
        <v>6.2E-2</v>
      </c>
      <c r="S17" s="347">
        <v>6.2E-2</v>
      </c>
      <c r="T17" s="347">
        <v>6.2E-2</v>
      </c>
      <c r="U17" s="347">
        <v>6.2E-2</v>
      </c>
      <c r="V17" s="347">
        <v>6.2E-2</v>
      </c>
      <c r="W17" s="347">
        <v>6.2E-2</v>
      </c>
      <c r="X17" s="347">
        <v>6.2E-2</v>
      </c>
      <c r="Y17" s="347">
        <v>6.2E-2</v>
      </c>
      <c r="Z17" s="347">
        <v>6.2E-2</v>
      </c>
      <c r="AA17" s="347">
        <v>6.2E-2</v>
      </c>
      <c r="AB17" s="347">
        <v>6.2E-2</v>
      </c>
      <c r="AC17" s="347">
        <v>6.2E-2</v>
      </c>
      <c r="AD17" s="347">
        <v>6.2E-2</v>
      </c>
      <c r="AE17" s="347">
        <v>6.2E-2</v>
      </c>
      <c r="AF17" s="347">
        <v>6.2E-2</v>
      </c>
      <c r="AG17" s="347">
        <v>6.2E-2</v>
      </c>
      <c r="AH17" s="347">
        <v>6.2E-2</v>
      </c>
      <c r="AI17" s="347">
        <v>6.2E-2</v>
      </c>
    </row>
    <row r="18" spans="1:35">
      <c r="A18" s="97" t="s">
        <v>400</v>
      </c>
      <c r="B18" s="97" t="s">
        <v>65</v>
      </c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</row>
    <row r="19" spans="1:35">
      <c r="A19" s="97" t="s">
        <v>82</v>
      </c>
      <c r="B19" s="97" t="s">
        <v>65</v>
      </c>
      <c r="F19" s="290">
        <v>0.10299999999999999</v>
      </c>
      <c r="G19" s="290">
        <f>F19</f>
        <v>0.10299999999999999</v>
      </c>
      <c r="H19" s="290">
        <f t="shared" ref="H19:AI19" si="1">G19</f>
        <v>0.10299999999999999</v>
      </c>
      <c r="I19" s="290">
        <f t="shared" si="1"/>
        <v>0.10299999999999999</v>
      </c>
      <c r="J19" s="290">
        <f t="shared" si="1"/>
        <v>0.10299999999999999</v>
      </c>
      <c r="K19" s="290">
        <f t="shared" si="1"/>
        <v>0.10299999999999999</v>
      </c>
      <c r="L19" s="290">
        <f t="shared" si="1"/>
        <v>0.10299999999999999</v>
      </c>
      <c r="M19" s="290">
        <f t="shared" si="1"/>
        <v>0.10299999999999999</v>
      </c>
      <c r="N19" s="290">
        <f t="shared" si="1"/>
        <v>0.10299999999999999</v>
      </c>
      <c r="O19" s="290">
        <f t="shared" si="1"/>
        <v>0.10299999999999999</v>
      </c>
      <c r="P19" s="290">
        <f t="shared" si="1"/>
        <v>0.10299999999999999</v>
      </c>
      <c r="Q19" s="290">
        <f t="shared" si="1"/>
        <v>0.10299999999999999</v>
      </c>
      <c r="R19" s="290">
        <f t="shared" si="1"/>
        <v>0.10299999999999999</v>
      </c>
      <c r="S19" s="290">
        <f t="shared" si="1"/>
        <v>0.10299999999999999</v>
      </c>
      <c r="T19" s="290">
        <f t="shared" si="1"/>
        <v>0.10299999999999999</v>
      </c>
      <c r="U19" s="290">
        <f t="shared" si="1"/>
        <v>0.10299999999999999</v>
      </c>
      <c r="V19" s="290">
        <f t="shared" si="1"/>
        <v>0.10299999999999999</v>
      </c>
      <c r="W19" s="290">
        <f t="shared" si="1"/>
        <v>0.10299999999999999</v>
      </c>
      <c r="X19" s="290">
        <f t="shared" si="1"/>
        <v>0.10299999999999999</v>
      </c>
      <c r="Y19" s="290">
        <f t="shared" si="1"/>
        <v>0.10299999999999999</v>
      </c>
      <c r="Z19" s="290">
        <f t="shared" si="1"/>
        <v>0.10299999999999999</v>
      </c>
      <c r="AA19" s="290">
        <f t="shared" si="1"/>
        <v>0.10299999999999999</v>
      </c>
      <c r="AB19" s="290">
        <f t="shared" si="1"/>
        <v>0.10299999999999999</v>
      </c>
      <c r="AC19" s="290">
        <f t="shared" si="1"/>
        <v>0.10299999999999999</v>
      </c>
      <c r="AD19" s="290">
        <f t="shared" si="1"/>
        <v>0.10299999999999999</v>
      </c>
      <c r="AE19" s="290">
        <f t="shared" si="1"/>
        <v>0.10299999999999999</v>
      </c>
      <c r="AF19" s="290">
        <f t="shared" si="1"/>
        <v>0.10299999999999999</v>
      </c>
      <c r="AG19" s="290">
        <f t="shared" si="1"/>
        <v>0.10299999999999999</v>
      </c>
      <c r="AH19" s="290">
        <f t="shared" si="1"/>
        <v>0.10299999999999999</v>
      </c>
      <c r="AI19" s="290">
        <f t="shared" si="1"/>
        <v>0.10299999999999999</v>
      </c>
    </row>
    <row r="20" spans="1:35">
      <c r="A20" s="97" t="s">
        <v>83</v>
      </c>
      <c r="B20" s="97" t="s">
        <v>65</v>
      </c>
      <c r="F20" s="290">
        <v>8.1000000000000003E-2</v>
      </c>
      <c r="G20" s="290">
        <f>F20</f>
        <v>8.1000000000000003E-2</v>
      </c>
      <c r="H20" s="290">
        <f t="shared" ref="H20:AI20" si="2">G20</f>
        <v>8.1000000000000003E-2</v>
      </c>
      <c r="I20" s="290">
        <f t="shared" si="2"/>
        <v>8.1000000000000003E-2</v>
      </c>
      <c r="J20" s="290">
        <f t="shared" si="2"/>
        <v>8.1000000000000003E-2</v>
      </c>
      <c r="K20" s="290">
        <f t="shared" si="2"/>
        <v>8.1000000000000003E-2</v>
      </c>
      <c r="L20" s="290">
        <f t="shared" si="2"/>
        <v>8.1000000000000003E-2</v>
      </c>
      <c r="M20" s="290">
        <f t="shared" si="2"/>
        <v>8.1000000000000003E-2</v>
      </c>
      <c r="N20" s="290">
        <f t="shared" si="2"/>
        <v>8.1000000000000003E-2</v>
      </c>
      <c r="O20" s="290">
        <f t="shared" si="2"/>
        <v>8.1000000000000003E-2</v>
      </c>
      <c r="P20" s="290">
        <f t="shared" si="2"/>
        <v>8.1000000000000003E-2</v>
      </c>
      <c r="Q20" s="290">
        <f t="shared" si="2"/>
        <v>8.1000000000000003E-2</v>
      </c>
      <c r="R20" s="290">
        <f t="shared" si="2"/>
        <v>8.1000000000000003E-2</v>
      </c>
      <c r="S20" s="290">
        <f t="shared" si="2"/>
        <v>8.1000000000000003E-2</v>
      </c>
      <c r="T20" s="290">
        <f t="shared" si="2"/>
        <v>8.1000000000000003E-2</v>
      </c>
      <c r="U20" s="290">
        <f t="shared" si="2"/>
        <v>8.1000000000000003E-2</v>
      </c>
      <c r="V20" s="290">
        <f t="shared" si="2"/>
        <v>8.1000000000000003E-2</v>
      </c>
      <c r="W20" s="290">
        <f t="shared" si="2"/>
        <v>8.1000000000000003E-2</v>
      </c>
      <c r="X20" s="290">
        <f t="shared" si="2"/>
        <v>8.1000000000000003E-2</v>
      </c>
      <c r="Y20" s="290">
        <f t="shared" si="2"/>
        <v>8.1000000000000003E-2</v>
      </c>
      <c r="Z20" s="290">
        <f t="shared" si="2"/>
        <v>8.1000000000000003E-2</v>
      </c>
      <c r="AA20" s="290">
        <f t="shared" si="2"/>
        <v>8.1000000000000003E-2</v>
      </c>
      <c r="AB20" s="290">
        <f t="shared" si="2"/>
        <v>8.1000000000000003E-2</v>
      </c>
      <c r="AC20" s="290">
        <f t="shared" si="2"/>
        <v>8.1000000000000003E-2</v>
      </c>
      <c r="AD20" s="290">
        <f t="shared" si="2"/>
        <v>8.1000000000000003E-2</v>
      </c>
      <c r="AE20" s="290">
        <f t="shared" si="2"/>
        <v>8.1000000000000003E-2</v>
      </c>
      <c r="AF20" s="290">
        <f t="shared" si="2"/>
        <v>8.1000000000000003E-2</v>
      </c>
      <c r="AG20" s="290">
        <f t="shared" si="2"/>
        <v>8.1000000000000003E-2</v>
      </c>
      <c r="AH20" s="290">
        <f t="shared" si="2"/>
        <v>8.1000000000000003E-2</v>
      </c>
      <c r="AI20" s="290">
        <f t="shared" si="2"/>
        <v>8.1000000000000003E-2</v>
      </c>
    </row>
    <row r="21" spans="1:35">
      <c r="A21" s="97" t="s">
        <v>399</v>
      </c>
      <c r="B21" s="97" t="s">
        <v>65</v>
      </c>
      <c r="F21" s="290">
        <v>0</v>
      </c>
      <c r="G21" s="290">
        <f>F21</f>
        <v>0</v>
      </c>
      <c r="H21" s="290">
        <f t="shared" ref="H21" si="3">G21</f>
        <v>0</v>
      </c>
      <c r="I21" s="290">
        <f t="shared" ref="I21" si="4">H21</f>
        <v>0</v>
      </c>
      <c r="J21" s="290">
        <f t="shared" ref="J21" si="5">I21</f>
        <v>0</v>
      </c>
      <c r="K21" s="290">
        <f t="shared" ref="K21" si="6">J21</f>
        <v>0</v>
      </c>
      <c r="L21" s="290">
        <f t="shared" ref="L21" si="7">K21</f>
        <v>0</v>
      </c>
      <c r="M21" s="290">
        <f t="shared" ref="M21" si="8">L21</f>
        <v>0</v>
      </c>
      <c r="N21" s="290">
        <f t="shared" ref="N21" si="9">M21</f>
        <v>0</v>
      </c>
      <c r="O21" s="290">
        <f t="shared" ref="O21" si="10">N21</f>
        <v>0</v>
      </c>
      <c r="P21" s="290">
        <f t="shared" ref="P21" si="11">O21</f>
        <v>0</v>
      </c>
      <c r="Q21" s="290">
        <f t="shared" ref="Q21" si="12">P21</f>
        <v>0</v>
      </c>
      <c r="R21" s="290">
        <f t="shared" ref="R21" si="13">Q21</f>
        <v>0</v>
      </c>
      <c r="S21" s="290">
        <f t="shared" ref="S21" si="14">R21</f>
        <v>0</v>
      </c>
      <c r="T21" s="290">
        <f t="shared" ref="T21" si="15">S21</f>
        <v>0</v>
      </c>
      <c r="U21" s="290">
        <f t="shared" ref="U21" si="16">T21</f>
        <v>0</v>
      </c>
      <c r="V21" s="290">
        <f t="shared" ref="V21" si="17">U21</f>
        <v>0</v>
      </c>
      <c r="W21" s="290">
        <f t="shared" ref="W21" si="18">V21</f>
        <v>0</v>
      </c>
      <c r="X21" s="290">
        <f t="shared" ref="X21" si="19">W21</f>
        <v>0</v>
      </c>
      <c r="Y21" s="290">
        <f t="shared" ref="Y21" si="20">X21</f>
        <v>0</v>
      </c>
      <c r="Z21" s="290">
        <f t="shared" ref="Z21" si="21">Y21</f>
        <v>0</v>
      </c>
      <c r="AA21" s="290">
        <f t="shared" ref="AA21" si="22">Z21</f>
        <v>0</v>
      </c>
      <c r="AB21" s="290">
        <f t="shared" ref="AB21" si="23">AA21</f>
        <v>0</v>
      </c>
      <c r="AC21" s="290">
        <f t="shared" ref="AC21" si="24">AB21</f>
        <v>0</v>
      </c>
      <c r="AD21" s="290">
        <f t="shared" ref="AD21" si="25">AC21</f>
        <v>0</v>
      </c>
      <c r="AE21" s="290">
        <f t="shared" ref="AE21" si="26">AD21</f>
        <v>0</v>
      </c>
      <c r="AF21" s="290">
        <f t="shared" ref="AF21" si="27">AE21</f>
        <v>0</v>
      </c>
      <c r="AG21" s="290">
        <f t="shared" ref="AG21" si="28">AF21</f>
        <v>0</v>
      </c>
      <c r="AH21" s="290">
        <f t="shared" ref="AH21" si="29">AG21</f>
        <v>0</v>
      </c>
      <c r="AI21" s="290">
        <f t="shared" ref="AI21" si="30">AH21</f>
        <v>0</v>
      </c>
    </row>
    <row r="22" spans="1:35">
      <c r="A22" s="97" t="s">
        <v>96</v>
      </c>
      <c r="B22" s="97" t="s">
        <v>65</v>
      </c>
      <c r="F22" s="290">
        <v>0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290">
        <v>0</v>
      </c>
      <c r="M22" s="290">
        <v>0</v>
      </c>
      <c r="N22" s="290">
        <v>0</v>
      </c>
      <c r="O22" s="290">
        <v>0</v>
      </c>
      <c r="P22" s="290">
        <v>0</v>
      </c>
      <c r="Q22" s="290">
        <v>0</v>
      </c>
      <c r="R22" s="290">
        <v>0</v>
      </c>
      <c r="S22" s="290">
        <v>0</v>
      </c>
      <c r="T22" s="290">
        <v>0</v>
      </c>
      <c r="U22" s="290">
        <v>0</v>
      </c>
      <c r="V22" s="290">
        <v>0</v>
      </c>
      <c r="W22" s="290">
        <v>0</v>
      </c>
      <c r="X22" s="290">
        <v>0</v>
      </c>
      <c r="Y22" s="290">
        <v>0</v>
      </c>
      <c r="Z22" s="290">
        <v>0</v>
      </c>
      <c r="AA22" s="290">
        <v>0</v>
      </c>
      <c r="AB22" s="290">
        <v>0</v>
      </c>
      <c r="AC22" s="290">
        <v>0</v>
      </c>
      <c r="AD22" s="290">
        <v>0</v>
      </c>
      <c r="AE22" s="290">
        <v>0</v>
      </c>
      <c r="AF22" s="290">
        <v>0</v>
      </c>
      <c r="AG22" s="290">
        <v>0</v>
      </c>
      <c r="AH22" s="290">
        <v>0</v>
      </c>
      <c r="AI22" s="290">
        <v>0</v>
      </c>
    </row>
    <row r="23" spans="1:35"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</row>
    <row r="24" spans="1:35">
      <c r="A24" s="97" t="s">
        <v>97</v>
      </c>
      <c r="B24" s="97" t="s">
        <v>65</v>
      </c>
      <c r="F24" s="290">
        <v>0.12</v>
      </c>
      <c r="G24" s="290">
        <v>0.12</v>
      </c>
      <c r="H24" s="290">
        <v>0.12</v>
      </c>
      <c r="I24" s="290">
        <v>0.12</v>
      </c>
      <c r="J24" s="290">
        <v>0.12</v>
      </c>
      <c r="K24" s="290">
        <v>0.12</v>
      </c>
      <c r="L24" s="290">
        <v>0.12</v>
      </c>
      <c r="M24" s="290">
        <v>0.12</v>
      </c>
      <c r="N24" s="290">
        <v>0.12</v>
      </c>
      <c r="O24" s="290">
        <v>0.12</v>
      </c>
      <c r="P24" s="290">
        <v>6.2E-2</v>
      </c>
      <c r="Q24" s="290">
        <v>6.2E-2</v>
      </c>
      <c r="R24" s="290">
        <v>6.2E-2</v>
      </c>
      <c r="S24" s="290">
        <v>6.2E-2</v>
      </c>
      <c r="T24" s="290">
        <v>6.2E-2</v>
      </c>
      <c r="U24" s="290">
        <v>6.2E-2</v>
      </c>
      <c r="V24" s="290">
        <v>6.2E-2</v>
      </c>
      <c r="W24" s="290">
        <v>6.2E-2</v>
      </c>
      <c r="X24" s="290">
        <v>6.2E-2</v>
      </c>
      <c r="Y24" s="290">
        <v>6.2E-2</v>
      </c>
      <c r="Z24" s="290">
        <v>6.2E-2</v>
      </c>
      <c r="AA24" s="290">
        <v>6.2E-2</v>
      </c>
      <c r="AB24" s="290">
        <v>6.2E-2</v>
      </c>
      <c r="AC24" s="290">
        <v>6.2E-2</v>
      </c>
      <c r="AD24" s="290">
        <v>6.2E-2</v>
      </c>
      <c r="AE24" s="290">
        <v>6.2E-2</v>
      </c>
      <c r="AF24" s="290">
        <v>6.2E-2</v>
      </c>
      <c r="AG24" s="290">
        <v>6.2E-2</v>
      </c>
      <c r="AH24" s="290">
        <v>6.2E-2</v>
      </c>
      <c r="AI24" s="290">
        <v>6.2E-2</v>
      </c>
    </row>
    <row r="25" spans="1:35">
      <c r="A25" s="97" t="s">
        <v>98</v>
      </c>
      <c r="B25" s="97" t="s">
        <v>65</v>
      </c>
      <c r="F25" s="290">
        <v>0.02</v>
      </c>
      <c r="G25" s="290">
        <v>0.02</v>
      </c>
      <c r="H25" s="290">
        <v>0.02</v>
      </c>
      <c r="I25" s="290">
        <v>0.02</v>
      </c>
      <c r="J25" s="290">
        <v>0.02</v>
      </c>
      <c r="K25" s="290">
        <v>0.02</v>
      </c>
      <c r="L25" s="290">
        <v>0.02</v>
      </c>
      <c r="M25" s="290">
        <v>0.02</v>
      </c>
      <c r="N25" s="290">
        <v>0.02</v>
      </c>
      <c r="O25" s="290">
        <v>0.02</v>
      </c>
      <c r="P25" s="290">
        <v>0.02</v>
      </c>
      <c r="Q25" s="290">
        <v>0.02</v>
      </c>
      <c r="R25" s="290">
        <v>0.02</v>
      </c>
      <c r="S25" s="290">
        <v>0.02</v>
      </c>
      <c r="T25" s="290">
        <v>0.02</v>
      </c>
      <c r="U25" s="290">
        <v>0.02</v>
      </c>
      <c r="V25" s="290">
        <v>0.02</v>
      </c>
      <c r="W25" s="290">
        <v>0.02</v>
      </c>
      <c r="X25" s="290">
        <v>0.02</v>
      </c>
      <c r="Y25" s="290">
        <v>0.02</v>
      </c>
      <c r="Z25" s="290">
        <v>0.02</v>
      </c>
      <c r="AA25" s="290">
        <v>0.02</v>
      </c>
      <c r="AB25" s="290">
        <v>0.02</v>
      </c>
      <c r="AC25" s="290">
        <v>0.02</v>
      </c>
      <c r="AD25" s="290">
        <v>0.02</v>
      </c>
      <c r="AE25" s="290">
        <v>0.02</v>
      </c>
      <c r="AF25" s="290">
        <v>0.02</v>
      </c>
      <c r="AG25" s="290">
        <v>0.02</v>
      </c>
      <c r="AH25" s="290">
        <v>0.02</v>
      </c>
      <c r="AI25" s="290">
        <v>0.02</v>
      </c>
    </row>
    <row r="26" spans="1:35">
      <c r="A26" s="540" t="s">
        <v>99</v>
      </c>
      <c r="B26" s="540"/>
      <c r="C26" s="540"/>
      <c r="D26" s="540"/>
      <c r="E26" s="540"/>
      <c r="F26" s="347">
        <v>0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47">
        <v>0</v>
      </c>
      <c r="N26" s="347">
        <v>0</v>
      </c>
      <c r="O26" s="347">
        <v>0</v>
      </c>
      <c r="P26" s="347">
        <v>0</v>
      </c>
      <c r="Q26" s="347">
        <v>0</v>
      </c>
      <c r="R26" s="347">
        <v>0</v>
      </c>
      <c r="S26" s="347">
        <v>0</v>
      </c>
      <c r="T26" s="347">
        <v>0</v>
      </c>
      <c r="U26" s="347">
        <v>0</v>
      </c>
      <c r="V26" s="347">
        <v>0</v>
      </c>
      <c r="W26" s="347">
        <v>0</v>
      </c>
      <c r="X26" s="347">
        <v>0</v>
      </c>
      <c r="Y26" s="347">
        <v>0</v>
      </c>
      <c r="Z26" s="347">
        <v>0</v>
      </c>
      <c r="AA26" s="347">
        <v>0</v>
      </c>
      <c r="AB26" s="347">
        <v>0</v>
      </c>
      <c r="AC26" s="347">
        <v>0</v>
      </c>
      <c r="AD26" s="347">
        <v>0</v>
      </c>
      <c r="AE26" s="347">
        <v>0</v>
      </c>
      <c r="AF26" s="347">
        <v>0</v>
      </c>
      <c r="AG26" s="347">
        <v>0</v>
      </c>
      <c r="AH26" s="347">
        <v>0</v>
      </c>
      <c r="AI26" s="347">
        <v>0</v>
      </c>
    </row>
    <row r="29" spans="1:35">
      <c r="A29" s="97" t="s">
        <v>104</v>
      </c>
      <c r="B29" s="97" t="s">
        <v>106</v>
      </c>
      <c r="C29" s="97" t="s">
        <v>107</v>
      </c>
      <c r="D29" s="292">
        <v>2.5000000000000001E-2</v>
      </c>
      <c r="E29" s="541">
        <f>'Investment budget'!$I$40*'Pre-conditions'!D29</f>
        <v>0.31875000000000003</v>
      </c>
      <c r="F29" s="358">
        <f t="shared" ref="F29:AI29" si="31">IF($B$5&gt;F$14,0,IF(E29=0,$E29,E29*(1+$B$11)))</f>
        <v>0</v>
      </c>
      <c r="G29" s="358">
        <f t="shared" si="31"/>
        <v>0</v>
      </c>
      <c r="H29" s="358">
        <f t="shared" si="31"/>
        <v>0</v>
      </c>
      <c r="I29" s="358">
        <f t="shared" si="31"/>
        <v>0.31875000000000003</v>
      </c>
      <c r="J29" s="358">
        <f t="shared" si="31"/>
        <v>0.32671875</v>
      </c>
      <c r="K29" s="358">
        <f t="shared" si="31"/>
        <v>0.33488671874999998</v>
      </c>
      <c r="L29" s="358">
        <f t="shared" si="31"/>
        <v>0.34325888671874993</v>
      </c>
      <c r="M29" s="358">
        <f t="shared" si="31"/>
        <v>0.35184035888671866</v>
      </c>
      <c r="N29" s="358">
        <f t="shared" si="31"/>
        <v>0.36063636785888659</v>
      </c>
      <c r="O29" s="358">
        <f t="shared" si="31"/>
        <v>0.36965227705535869</v>
      </c>
      <c r="P29" s="358">
        <f t="shared" si="31"/>
        <v>0.37889358398174261</v>
      </c>
      <c r="Q29" s="358">
        <f t="shared" si="31"/>
        <v>0.38836592358128613</v>
      </c>
      <c r="R29" s="358">
        <f t="shared" si="31"/>
        <v>0.39807507167081824</v>
      </c>
      <c r="S29" s="358">
        <f t="shared" si="31"/>
        <v>0.40802694846258863</v>
      </c>
      <c r="T29" s="358">
        <f t="shared" si="31"/>
        <v>0.41822762217415332</v>
      </c>
      <c r="U29" s="358">
        <f t="shared" si="31"/>
        <v>0.42868331272850713</v>
      </c>
      <c r="V29" s="358">
        <f t="shared" si="31"/>
        <v>0.43940039554671978</v>
      </c>
      <c r="W29" s="358">
        <f t="shared" si="31"/>
        <v>0.45038540543538774</v>
      </c>
      <c r="X29" s="358">
        <f t="shared" si="31"/>
        <v>0.46164504057127237</v>
      </c>
      <c r="Y29" s="358">
        <f t="shared" si="31"/>
        <v>0.47318616658555412</v>
      </c>
      <c r="Z29" s="358">
        <f t="shared" si="31"/>
        <v>0.48501582075019295</v>
      </c>
      <c r="AA29" s="358">
        <f t="shared" si="31"/>
        <v>0.49714121626894775</v>
      </c>
      <c r="AB29" s="358">
        <f t="shared" si="31"/>
        <v>0.50956974667567145</v>
      </c>
      <c r="AC29" s="358">
        <f t="shared" si="31"/>
        <v>0.52230899034256317</v>
      </c>
      <c r="AD29" s="358">
        <f t="shared" si="31"/>
        <v>0.53536671510112721</v>
      </c>
      <c r="AE29" s="358">
        <f t="shared" si="31"/>
        <v>0.54875088297865537</v>
      </c>
      <c r="AF29" s="358">
        <f t="shared" si="31"/>
        <v>0.56246965505312174</v>
      </c>
      <c r="AG29" s="358">
        <f t="shared" si="31"/>
        <v>0.57653139642944973</v>
      </c>
      <c r="AH29" s="358">
        <f t="shared" si="31"/>
        <v>0.59094468134018596</v>
      </c>
      <c r="AI29" s="358">
        <f t="shared" si="31"/>
        <v>0.60571829837369051</v>
      </c>
    </row>
    <row r="30" spans="1:35">
      <c r="B30" s="97" t="s">
        <v>59</v>
      </c>
      <c r="C30" s="97" t="s">
        <v>111</v>
      </c>
      <c r="D30" s="293">
        <v>0</v>
      </c>
      <c r="E30" s="541">
        <f>'Investment budget'!$I$40*'Pre-conditions'!D30</f>
        <v>0</v>
      </c>
      <c r="F30" s="358">
        <f t="shared" ref="F30:AI30" si="32">IF($B$5&gt;F$14,0,IF(E30=0,$E30,E30*(1+$B$11)))</f>
        <v>0</v>
      </c>
      <c r="G30" s="358">
        <f t="shared" si="32"/>
        <v>0</v>
      </c>
      <c r="H30" s="358">
        <f t="shared" si="32"/>
        <v>0</v>
      </c>
      <c r="I30" s="358">
        <f t="shared" si="32"/>
        <v>0</v>
      </c>
      <c r="J30" s="358">
        <f t="shared" si="32"/>
        <v>0</v>
      </c>
      <c r="K30" s="358">
        <f t="shared" si="32"/>
        <v>0</v>
      </c>
      <c r="L30" s="358">
        <f t="shared" si="32"/>
        <v>0</v>
      </c>
      <c r="M30" s="358">
        <f t="shared" si="32"/>
        <v>0</v>
      </c>
      <c r="N30" s="358">
        <f t="shared" si="32"/>
        <v>0</v>
      </c>
      <c r="O30" s="358">
        <f t="shared" si="32"/>
        <v>0</v>
      </c>
      <c r="P30" s="358">
        <f t="shared" si="32"/>
        <v>0</v>
      </c>
      <c r="Q30" s="358">
        <f t="shared" si="32"/>
        <v>0</v>
      </c>
      <c r="R30" s="358">
        <f t="shared" si="32"/>
        <v>0</v>
      </c>
      <c r="S30" s="358">
        <f t="shared" si="32"/>
        <v>0</v>
      </c>
      <c r="T30" s="358">
        <f t="shared" si="32"/>
        <v>0</v>
      </c>
      <c r="U30" s="358">
        <f t="shared" si="32"/>
        <v>0</v>
      </c>
      <c r="V30" s="358">
        <f t="shared" si="32"/>
        <v>0</v>
      </c>
      <c r="W30" s="358">
        <f t="shared" si="32"/>
        <v>0</v>
      </c>
      <c r="X30" s="358">
        <f t="shared" si="32"/>
        <v>0</v>
      </c>
      <c r="Y30" s="358">
        <f t="shared" si="32"/>
        <v>0</v>
      </c>
      <c r="Z30" s="358">
        <f t="shared" si="32"/>
        <v>0</v>
      </c>
      <c r="AA30" s="358">
        <f t="shared" si="32"/>
        <v>0</v>
      </c>
      <c r="AB30" s="358">
        <f t="shared" si="32"/>
        <v>0</v>
      </c>
      <c r="AC30" s="358">
        <f t="shared" si="32"/>
        <v>0</v>
      </c>
      <c r="AD30" s="358">
        <f t="shared" si="32"/>
        <v>0</v>
      </c>
      <c r="AE30" s="358">
        <f t="shared" si="32"/>
        <v>0</v>
      </c>
      <c r="AF30" s="358">
        <f t="shared" si="32"/>
        <v>0</v>
      </c>
      <c r="AG30" s="358">
        <f t="shared" si="32"/>
        <v>0</v>
      </c>
      <c r="AH30" s="358">
        <f t="shared" si="32"/>
        <v>0</v>
      </c>
      <c r="AI30" s="358">
        <f t="shared" si="32"/>
        <v>0</v>
      </c>
    </row>
    <row r="31" spans="1:35">
      <c r="B31" s="97" t="s">
        <v>108</v>
      </c>
      <c r="C31" s="97" t="s">
        <v>110</v>
      </c>
      <c r="D31" s="293">
        <v>0</v>
      </c>
      <c r="E31" s="541">
        <f>'Investment budget'!$I$40*'Pre-conditions'!D31</f>
        <v>0</v>
      </c>
      <c r="F31" s="358">
        <f t="shared" ref="F31:AI31" si="33">IF($B$5&gt;F$14,0,IF(E31=0,$E31,E31*(1+$B$11)))</f>
        <v>0</v>
      </c>
      <c r="G31" s="358">
        <f t="shared" si="33"/>
        <v>0</v>
      </c>
      <c r="H31" s="358">
        <f t="shared" si="33"/>
        <v>0</v>
      </c>
      <c r="I31" s="358">
        <f t="shared" si="33"/>
        <v>0</v>
      </c>
      <c r="J31" s="358">
        <f t="shared" si="33"/>
        <v>0</v>
      </c>
      <c r="K31" s="358">
        <f t="shared" si="33"/>
        <v>0</v>
      </c>
      <c r="L31" s="358">
        <f t="shared" si="33"/>
        <v>0</v>
      </c>
      <c r="M31" s="358">
        <f t="shared" si="33"/>
        <v>0</v>
      </c>
      <c r="N31" s="358">
        <f t="shared" si="33"/>
        <v>0</v>
      </c>
      <c r="O31" s="358">
        <f t="shared" si="33"/>
        <v>0</v>
      </c>
      <c r="P31" s="358">
        <f t="shared" si="33"/>
        <v>0</v>
      </c>
      <c r="Q31" s="358">
        <f t="shared" si="33"/>
        <v>0</v>
      </c>
      <c r="R31" s="358">
        <f t="shared" si="33"/>
        <v>0</v>
      </c>
      <c r="S31" s="358">
        <f t="shared" si="33"/>
        <v>0</v>
      </c>
      <c r="T31" s="358">
        <f t="shared" si="33"/>
        <v>0</v>
      </c>
      <c r="U31" s="358">
        <f t="shared" si="33"/>
        <v>0</v>
      </c>
      <c r="V31" s="358">
        <f t="shared" si="33"/>
        <v>0</v>
      </c>
      <c r="W31" s="358">
        <f t="shared" si="33"/>
        <v>0</v>
      </c>
      <c r="X31" s="358">
        <f t="shared" si="33"/>
        <v>0</v>
      </c>
      <c r="Y31" s="358">
        <f t="shared" si="33"/>
        <v>0</v>
      </c>
      <c r="Z31" s="358">
        <f t="shared" si="33"/>
        <v>0</v>
      </c>
      <c r="AA31" s="358">
        <f t="shared" si="33"/>
        <v>0</v>
      </c>
      <c r="AB31" s="358">
        <f t="shared" si="33"/>
        <v>0</v>
      </c>
      <c r="AC31" s="358">
        <f t="shared" si="33"/>
        <v>0</v>
      </c>
      <c r="AD31" s="358">
        <f t="shared" si="33"/>
        <v>0</v>
      </c>
      <c r="AE31" s="358">
        <f t="shared" si="33"/>
        <v>0</v>
      </c>
      <c r="AF31" s="358">
        <f t="shared" si="33"/>
        <v>0</v>
      </c>
      <c r="AG31" s="358">
        <f t="shared" si="33"/>
        <v>0</v>
      </c>
      <c r="AH31" s="358">
        <f t="shared" si="33"/>
        <v>0</v>
      </c>
      <c r="AI31" s="358">
        <f t="shared" si="33"/>
        <v>0</v>
      </c>
    </row>
    <row r="32" spans="1:35">
      <c r="B32" s="97" t="s">
        <v>395</v>
      </c>
      <c r="D32" s="293">
        <v>0</v>
      </c>
      <c r="E32" s="541">
        <f>'Investment budget'!$I$40*'Pre-conditions'!D32</f>
        <v>0</v>
      </c>
      <c r="F32" s="358">
        <f t="shared" ref="F32:F34" si="34">IF($B$5&gt;F$14,0,IF(E32=0,$E32,E32*(1+$B$11)))</f>
        <v>0</v>
      </c>
      <c r="G32" s="358">
        <f t="shared" ref="G32:G34" si="35">IF($B$5&gt;G$14,0,IF(F32=0,$E32,F32*(1+$B$11)))</f>
        <v>0</v>
      </c>
      <c r="H32" s="358">
        <f t="shared" ref="H32:H34" si="36">IF($B$5&gt;H$14,0,IF(G32=0,$E32,G32*(1+$B$11)))</f>
        <v>0</v>
      </c>
      <c r="I32" s="358">
        <f t="shared" ref="I32:I34" si="37">IF($B$5&gt;I$14,0,IF(H32=0,$E32,H32*(1+$B$11)))</f>
        <v>0</v>
      </c>
      <c r="J32" s="358">
        <f t="shared" ref="J32:J34" si="38">IF($B$5&gt;J$14,0,IF(I32=0,$E32,I32*(1+$B$11)))</f>
        <v>0</v>
      </c>
      <c r="K32" s="358">
        <f t="shared" ref="K32:K34" si="39">IF($B$5&gt;K$14,0,IF(J32=0,$E32,J32*(1+$B$11)))</f>
        <v>0</v>
      </c>
      <c r="L32" s="358">
        <f t="shared" ref="L32:L34" si="40">IF($B$5&gt;L$14,0,IF(K32=0,$E32,K32*(1+$B$11)))</f>
        <v>0</v>
      </c>
      <c r="M32" s="358">
        <f t="shared" ref="M32:M34" si="41">IF($B$5&gt;M$14,0,IF(L32=0,$E32,L32*(1+$B$11)))</f>
        <v>0</v>
      </c>
      <c r="N32" s="358">
        <f t="shared" ref="N32:N34" si="42">IF($B$5&gt;N$14,0,IF(M32=0,$E32,M32*(1+$B$11)))</f>
        <v>0</v>
      </c>
      <c r="O32" s="358">
        <f t="shared" ref="O32:O34" si="43">IF($B$5&gt;O$14,0,IF(N32=0,$E32,N32*(1+$B$11)))</f>
        <v>0</v>
      </c>
      <c r="P32" s="358">
        <f t="shared" ref="P32:P34" si="44">IF($B$5&gt;P$14,0,IF(O32=0,$E32,O32*(1+$B$11)))</f>
        <v>0</v>
      </c>
      <c r="Q32" s="358">
        <f t="shared" ref="Q32:Q34" si="45">IF($B$5&gt;Q$14,0,IF(P32=0,$E32,P32*(1+$B$11)))</f>
        <v>0</v>
      </c>
      <c r="R32" s="358">
        <f t="shared" ref="R32:R34" si="46">IF($B$5&gt;R$14,0,IF(Q32=0,$E32,Q32*(1+$B$11)))</f>
        <v>0</v>
      </c>
      <c r="S32" s="358">
        <f t="shared" ref="S32:S34" si="47">IF($B$5&gt;S$14,0,IF(R32=0,$E32,R32*(1+$B$11)))</f>
        <v>0</v>
      </c>
      <c r="T32" s="358">
        <f t="shared" ref="T32:T34" si="48">IF($B$5&gt;T$14,0,IF(S32=0,$E32,S32*(1+$B$11)))</f>
        <v>0</v>
      </c>
      <c r="U32" s="358">
        <f t="shared" ref="U32:U34" si="49">IF($B$5&gt;U$14,0,IF(T32=0,$E32,T32*(1+$B$11)))</f>
        <v>0</v>
      </c>
      <c r="V32" s="358">
        <f t="shared" ref="V32:V34" si="50">IF($B$5&gt;V$14,0,IF(U32=0,$E32,U32*(1+$B$11)))</f>
        <v>0</v>
      </c>
      <c r="W32" s="358">
        <f t="shared" ref="W32:W34" si="51">IF($B$5&gt;W$14,0,IF(V32=0,$E32,V32*(1+$B$11)))</f>
        <v>0</v>
      </c>
      <c r="X32" s="358">
        <f t="shared" ref="X32:X34" si="52">IF($B$5&gt;X$14,0,IF(W32=0,$E32,W32*(1+$B$11)))</f>
        <v>0</v>
      </c>
      <c r="Y32" s="358">
        <f t="shared" ref="Y32:Y34" si="53">IF($B$5&gt;Y$14,0,IF(X32=0,$E32,X32*(1+$B$11)))</f>
        <v>0</v>
      </c>
      <c r="Z32" s="358">
        <f t="shared" ref="Z32:Z34" si="54">IF($B$5&gt;Z$14,0,IF(Y32=0,$E32,Y32*(1+$B$11)))</f>
        <v>0</v>
      </c>
      <c r="AA32" s="358">
        <f t="shared" ref="AA32:AA34" si="55">IF($B$5&gt;AA$14,0,IF(Z32=0,$E32,Z32*(1+$B$11)))</f>
        <v>0</v>
      </c>
      <c r="AB32" s="358">
        <f t="shared" ref="AB32:AB34" si="56">IF($B$5&gt;AB$14,0,IF(AA32=0,$E32,AA32*(1+$B$11)))</f>
        <v>0</v>
      </c>
      <c r="AC32" s="358">
        <f t="shared" ref="AC32:AC34" si="57">IF($B$5&gt;AC$14,0,IF(AB32=0,$E32,AB32*(1+$B$11)))</f>
        <v>0</v>
      </c>
      <c r="AD32" s="358">
        <f t="shared" ref="AD32:AD34" si="58">IF($B$5&gt;AD$14,0,IF(AC32=0,$E32,AC32*(1+$B$11)))</f>
        <v>0</v>
      </c>
      <c r="AE32" s="358">
        <f t="shared" ref="AE32:AE34" si="59">IF($B$5&gt;AE$14,0,IF(AD32=0,$E32,AD32*(1+$B$11)))</f>
        <v>0</v>
      </c>
      <c r="AF32" s="358">
        <f t="shared" ref="AF32:AF34" si="60">IF($B$5&gt;AF$14,0,IF(AE32=0,$E32,AE32*(1+$B$11)))</f>
        <v>0</v>
      </c>
      <c r="AG32" s="358">
        <f t="shared" ref="AG32:AG34" si="61">IF($B$5&gt;AG$14,0,IF(AF32=0,$E32,AF32*(1+$B$11)))</f>
        <v>0</v>
      </c>
      <c r="AH32" s="358">
        <f t="shared" ref="AH32:AH34" si="62">IF($B$5&gt;AH$14,0,IF(AG32=0,$E32,AG32*(1+$B$11)))</f>
        <v>0</v>
      </c>
      <c r="AI32" s="358">
        <f t="shared" ref="AI32:AI34" si="63">IF($B$5&gt;AI$14,0,IF(AH32=0,$E32,AH32*(1+$B$11)))</f>
        <v>0</v>
      </c>
    </row>
    <row r="33" spans="1:35">
      <c r="B33" s="97" t="s">
        <v>398</v>
      </c>
      <c r="D33" s="293">
        <v>0</v>
      </c>
      <c r="E33" s="541">
        <f>'Investment budget'!$I$40*'Pre-conditions'!D33</f>
        <v>0</v>
      </c>
      <c r="F33" s="358">
        <f t="shared" si="34"/>
        <v>0</v>
      </c>
      <c r="G33" s="358">
        <f t="shared" si="35"/>
        <v>0</v>
      </c>
      <c r="H33" s="358">
        <f t="shared" si="36"/>
        <v>0</v>
      </c>
      <c r="I33" s="358">
        <f t="shared" si="37"/>
        <v>0</v>
      </c>
      <c r="J33" s="358">
        <f t="shared" si="38"/>
        <v>0</v>
      </c>
      <c r="K33" s="358">
        <f t="shared" si="39"/>
        <v>0</v>
      </c>
      <c r="L33" s="358">
        <f t="shared" si="40"/>
        <v>0</v>
      </c>
      <c r="M33" s="358">
        <f t="shared" si="41"/>
        <v>0</v>
      </c>
      <c r="N33" s="358">
        <f t="shared" si="42"/>
        <v>0</v>
      </c>
      <c r="O33" s="358">
        <f t="shared" si="43"/>
        <v>0</v>
      </c>
      <c r="P33" s="358">
        <f t="shared" si="44"/>
        <v>0</v>
      </c>
      <c r="Q33" s="358">
        <f t="shared" si="45"/>
        <v>0</v>
      </c>
      <c r="R33" s="358">
        <f t="shared" si="46"/>
        <v>0</v>
      </c>
      <c r="S33" s="358">
        <f t="shared" si="47"/>
        <v>0</v>
      </c>
      <c r="T33" s="358">
        <f t="shared" si="48"/>
        <v>0</v>
      </c>
      <c r="U33" s="358">
        <f t="shared" si="49"/>
        <v>0</v>
      </c>
      <c r="V33" s="358">
        <f t="shared" si="50"/>
        <v>0</v>
      </c>
      <c r="W33" s="358">
        <f t="shared" si="51"/>
        <v>0</v>
      </c>
      <c r="X33" s="358">
        <f t="shared" si="52"/>
        <v>0</v>
      </c>
      <c r="Y33" s="358">
        <f t="shared" si="53"/>
        <v>0</v>
      </c>
      <c r="Z33" s="358">
        <f t="shared" si="54"/>
        <v>0</v>
      </c>
      <c r="AA33" s="358">
        <f t="shared" si="55"/>
        <v>0</v>
      </c>
      <c r="AB33" s="358">
        <f t="shared" si="56"/>
        <v>0</v>
      </c>
      <c r="AC33" s="358">
        <f t="shared" si="57"/>
        <v>0</v>
      </c>
      <c r="AD33" s="358">
        <f t="shared" si="58"/>
        <v>0</v>
      </c>
      <c r="AE33" s="358">
        <f t="shared" si="59"/>
        <v>0</v>
      </c>
      <c r="AF33" s="358">
        <f t="shared" si="60"/>
        <v>0</v>
      </c>
      <c r="AG33" s="358">
        <f t="shared" si="61"/>
        <v>0</v>
      </c>
      <c r="AH33" s="358">
        <f t="shared" si="62"/>
        <v>0</v>
      </c>
      <c r="AI33" s="358">
        <f t="shared" si="63"/>
        <v>0</v>
      </c>
    </row>
    <row r="34" spans="1:35">
      <c r="B34" s="97" t="s">
        <v>397</v>
      </c>
      <c r="D34" s="293">
        <v>0</v>
      </c>
      <c r="E34" s="541">
        <f>'Investment budget'!$I$40*'Pre-conditions'!D34</f>
        <v>0</v>
      </c>
      <c r="F34" s="358">
        <f t="shared" si="34"/>
        <v>0</v>
      </c>
      <c r="G34" s="358">
        <f t="shared" si="35"/>
        <v>0</v>
      </c>
      <c r="H34" s="358">
        <f t="shared" si="36"/>
        <v>0</v>
      </c>
      <c r="I34" s="358">
        <f t="shared" si="37"/>
        <v>0</v>
      </c>
      <c r="J34" s="358">
        <f t="shared" si="38"/>
        <v>0</v>
      </c>
      <c r="K34" s="358">
        <f t="shared" si="39"/>
        <v>0</v>
      </c>
      <c r="L34" s="358">
        <f t="shared" si="40"/>
        <v>0</v>
      </c>
      <c r="M34" s="358">
        <f t="shared" si="41"/>
        <v>0</v>
      </c>
      <c r="N34" s="358">
        <f t="shared" si="42"/>
        <v>0</v>
      </c>
      <c r="O34" s="358">
        <f t="shared" si="43"/>
        <v>0</v>
      </c>
      <c r="P34" s="358">
        <f t="shared" si="44"/>
        <v>0</v>
      </c>
      <c r="Q34" s="358">
        <f t="shared" si="45"/>
        <v>0</v>
      </c>
      <c r="R34" s="358">
        <f t="shared" si="46"/>
        <v>0</v>
      </c>
      <c r="S34" s="358">
        <f t="shared" si="47"/>
        <v>0</v>
      </c>
      <c r="T34" s="358">
        <f t="shared" si="48"/>
        <v>0</v>
      </c>
      <c r="U34" s="358">
        <f t="shared" si="49"/>
        <v>0</v>
      </c>
      <c r="V34" s="358">
        <f t="shared" si="50"/>
        <v>0</v>
      </c>
      <c r="W34" s="358">
        <f t="shared" si="51"/>
        <v>0</v>
      </c>
      <c r="X34" s="358">
        <f t="shared" si="52"/>
        <v>0</v>
      </c>
      <c r="Y34" s="358">
        <f t="shared" si="53"/>
        <v>0</v>
      </c>
      <c r="Z34" s="358">
        <f t="shared" si="54"/>
        <v>0</v>
      </c>
      <c r="AA34" s="358">
        <f t="shared" si="55"/>
        <v>0</v>
      </c>
      <c r="AB34" s="358">
        <f t="shared" si="56"/>
        <v>0</v>
      </c>
      <c r="AC34" s="358">
        <f t="shared" si="57"/>
        <v>0</v>
      </c>
      <c r="AD34" s="358">
        <f t="shared" si="58"/>
        <v>0</v>
      </c>
      <c r="AE34" s="358">
        <f t="shared" si="59"/>
        <v>0</v>
      </c>
      <c r="AF34" s="358">
        <f t="shared" si="60"/>
        <v>0</v>
      </c>
      <c r="AG34" s="358">
        <f t="shared" si="61"/>
        <v>0</v>
      </c>
      <c r="AH34" s="358">
        <f t="shared" si="62"/>
        <v>0</v>
      </c>
      <c r="AI34" s="358">
        <f t="shared" si="63"/>
        <v>0</v>
      </c>
    </row>
    <row r="36" spans="1:35">
      <c r="A36" s="97" t="s">
        <v>69</v>
      </c>
      <c r="B36" s="97" t="s">
        <v>106</v>
      </c>
      <c r="C36" s="97" t="s">
        <v>112</v>
      </c>
      <c r="D36" s="292">
        <v>0.01</v>
      </c>
      <c r="E36" s="541">
        <f>'Investment budget'!$I$40*'Pre-conditions'!D36</f>
        <v>0.1275</v>
      </c>
      <c r="F36" s="358">
        <f>E36</f>
        <v>0.1275</v>
      </c>
      <c r="G36" s="358">
        <f>F36*(1+$B$11)</f>
        <v>0.13068749999999998</v>
      </c>
      <c r="H36" s="358">
        <f t="shared" ref="H36:AI38" si="64">G36*(1+$B$11)</f>
        <v>0.13395468749999997</v>
      </c>
      <c r="I36" s="358">
        <f t="shared" si="64"/>
        <v>0.13730355468749997</v>
      </c>
      <c r="J36" s="358">
        <f t="shared" si="64"/>
        <v>0.14073614355468744</v>
      </c>
      <c r="K36" s="358">
        <f t="shared" si="64"/>
        <v>0.14425454714355462</v>
      </c>
      <c r="L36" s="358">
        <f t="shared" si="64"/>
        <v>0.14786091082214348</v>
      </c>
      <c r="M36" s="358">
        <f t="shared" si="64"/>
        <v>0.15155743359269705</v>
      </c>
      <c r="N36" s="358">
        <f t="shared" si="64"/>
        <v>0.15534636943251445</v>
      </c>
      <c r="O36" s="358">
        <f t="shared" si="64"/>
        <v>0.15923002866832731</v>
      </c>
      <c r="P36" s="358">
        <f t="shared" si="64"/>
        <v>0.16321077938503548</v>
      </c>
      <c r="Q36" s="358">
        <f t="shared" si="64"/>
        <v>0.16729104886966134</v>
      </c>
      <c r="R36" s="358">
        <f t="shared" si="64"/>
        <v>0.17147332509140287</v>
      </c>
      <c r="S36" s="358">
        <f t="shared" si="64"/>
        <v>0.17576015821868793</v>
      </c>
      <c r="T36" s="358">
        <f t="shared" si="64"/>
        <v>0.18015416217415511</v>
      </c>
      <c r="U36" s="358">
        <f t="shared" si="64"/>
        <v>0.18465801622850897</v>
      </c>
      <c r="V36" s="358">
        <f t="shared" si="64"/>
        <v>0.18927446663422168</v>
      </c>
      <c r="W36" s="358">
        <f t="shared" si="64"/>
        <v>0.19400632830007719</v>
      </c>
      <c r="X36" s="358">
        <f t="shared" si="64"/>
        <v>0.19885648650757912</v>
      </c>
      <c r="Y36" s="358">
        <f t="shared" si="64"/>
        <v>0.20382789867026857</v>
      </c>
      <c r="Z36" s="358">
        <f t="shared" si="64"/>
        <v>0.20892359613702527</v>
      </c>
      <c r="AA36" s="358">
        <f t="shared" si="64"/>
        <v>0.2141466860404509</v>
      </c>
      <c r="AB36" s="358">
        <f t="shared" si="64"/>
        <v>0.21950035319146216</v>
      </c>
      <c r="AC36" s="358">
        <f t="shared" si="64"/>
        <v>0.22498786202124871</v>
      </c>
      <c r="AD36" s="358">
        <f t="shared" si="64"/>
        <v>0.2306125585717799</v>
      </c>
      <c r="AE36" s="358">
        <f t="shared" si="64"/>
        <v>0.23637787253607437</v>
      </c>
      <c r="AF36" s="358">
        <f t="shared" si="64"/>
        <v>0.2422873193494762</v>
      </c>
      <c r="AG36" s="358">
        <f t="shared" si="64"/>
        <v>0.24834450233321309</v>
      </c>
      <c r="AH36" s="358">
        <f t="shared" si="64"/>
        <v>0.25455311489154342</v>
      </c>
      <c r="AI36" s="358">
        <f t="shared" si="64"/>
        <v>0.26091694276383198</v>
      </c>
    </row>
    <row r="37" spans="1:35">
      <c r="B37" s="97" t="s">
        <v>59</v>
      </c>
      <c r="C37" s="97" t="s">
        <v>113</v>
      </c>
      <c r="D37" s="294">
        <v>0</v>
      </c>
      <c r="E37" s="541">
        <f>'Investment budget'!$I$40*'Pre-conditions'!D37</f>
        <v>0</v>
      </c>
      <c r="F37" s="358">
        <f t="shared" ref="F37:F38" si="65">E37</f>
        <v>0</v>
      </c>
      <c r="G37" s="358">
        <f t="shared" ref="G37:V38" si="66">F37*(1+$B$11)</f>
        <v>0</v>
      </c>
      <c r="H37" s="358">
        <f t="shared" si="66"/>
        <v>0</v>
      </c>
      <c r="I37" s="358">
        <f t="shared" si="66"/>
        <v>0</v>
      </c>
      <c r="J37" s="358">
        <f t="shared" si="66"/>
        <v>0</v>
      </c>
      <c r="K37" s="358">
        <f t="shared" si="66"/>
        <v>0</v>
      </c>
      <c r="L37" s="358">
        <f t="shared" si="66"/>
        <v>0</v>
      </c>
      <c r="M37" s="358">
        <f t="shared" si="66"/>
        <v>0</v>
      </c>
      <c r="N37" s="358">
        <f t="shared" si="66"/>
        <v>0</v>
      </c>
      <c r="O37" s="358">
        <f t="shared" si="66"/>
        <v>0</v>
      </c>
      <c r="P37" s="358">
        <f t="shared" si="66"/>
        <v>0</v>
      </c>
      <c r="Q37" s="358">
        <f t="shared" si="66"/>
        <v>0</v>
      </c>
      <c r="R37" s="358">
        <f t="shared" si="66"/>
        <v>0</v>
      </c>
      <c r="S37" s="358">
        <f t="shared" si="66"/>
        <v>0</v>
      </c>
      <c r="T37" s="358">
        <f t="shared" si="66"/>
        <v>0</v>
      </c>
      <c r="U37" s="358">
        <f t="shared" si="66"/>
        <v>0</v>
      </c>
      <c r="V37" s="358">
        <f t="shared" si="66"/>
        <v>0</v>
      </c>
      <c r="W37" s="358">
        <f t="shared" si="64"/>
        <v>0</v>
      </c>
      <c r="X37" s="358">
        <f t="shared" si="64"/>
        <v>0</v>
      </c>
      <c r="Y37" s="358">
        <f t="shared" si="64"/>
        <v>0</v>
      </c>
      <c r="Z37" s="358">
        <f t="shared" si="64"/>
        <v>0</v>
      </c>
      <c r="AA37" s="358">
        <f t="shared" si="64"/>
        <v>0</v>
      </c>
      <c r="AB37" s="358">
        <f t="shared" si="64"/>
        <v>0</v>
      </c>
      <c r="AC37" s="358">
        <f t="shared" si="64"/>
        <v>0</v>
      </c>
      <c r="AD37" s="358">
        <f t="shared" si="64"/>
        <v>0</v>
      </c>
      <c r="AE37" s="358">
        <f t="shared" si="64"/>
        <v>0</v>
      </c>
      <c r="AF37" s="358">
        <f t="shared" si="64"/>
        <v>0</v>
      </c>
      <c r="AG37" s="358">
        <f t="shared" si="64"/>
        <v>0</v>
      </c>
      <c r="AH37" s="358">
        <f t="shared" si="64"/>
        <v>0</v>
      </c>
      <c r="AI37" s="358">
        <f t="shared" si="64"/>
        <v>0</v>
      </c>
    </row>
    <row r="38" spans="1:35">
      <c r="B38" s="97" t="s">
        <v>108</v>
      </c>
      <c r="C38" s="97" t="s">
        <v>114</v>
      </c>
      <c r="D38" s="294">
        <v>0</v>
      </c>
      <c r="E38" s="541">
        <f>'Investment budget'!$I$40*'Pre-conditions'!D38</f>
        <v>0</v>
      </c>
      <c r="F38" s="358">
        <f t="shared" si="65"/>
        <v>0</v>
      </c>
      <c r="G38" s="358">
        <f t="shared" si="66"/>
        <v>0</v>
      </c>
      <c r="H38" s="358">
        <f t="shared" si="64"/>
        <v>0</v>
      </c>
      <c r="I38" s="358">
        <f t="shared" si="64"/>
        <v>0</v>
      </c>
      <c r="J38" s="358">
        <f t="shared" si="64"/>
        <v>0</v>
      </c>
      <c r="K38" s="358">
        <f t="shared" si="64"/>
        <v>0</v>
      </c>
      <c r="L38" s="358">
        <f t="shared" si="64"/>
        <v>0</v>
      </c>
      <c r="M38" s="358">
        <f t="shared" si="64"/>
        <v>0</v>
      </c>
      <c r="N38" s="358">
        <f t="shared" si="64"/>
        <v>0</v>
      </c>
      <c r="O38" s="358">
        <f t="shared" si="64"/>
        <v>0</v>
      </c>
      <c r="P38" s="358">
        <f t="shared" si="64"/>
        <v>0</v>
      </c>
      <c r="Q38" s="358">
        <f t="shared" si="64"/>
        <v>0</v>
      </c>
      <c r="R38" s="358">
        <f t="shared" si="64"/>
        <v>0</v>
      </c>
      <c r="S38" s="358">
        <f t="shared" si="64"/>
        <v>0</v>
      </c>
      <c r="T38" s="358">
        <f t="shared" si="64"/>
        <v>0</v>
      </c>
      <c r="U38" s="358">
        <f t="shared" si="64"/>
        <v>0</v>
      </c>
      <c r="V38" s="358">
        <f t="shared" si="64"/>
        <v>0</v>
      </c>
      <c r="W38" s="358">
        <f t="shared" si="64"/>
        <v>0</v>
      </c>
      <c r="X38" s="358">
        <f t="shared" si="64"/>
        <v>0</v>
      </c>
      <c r="Y38" s="358">
        <f t="shared" si="64"/>
        <v>0</v>
      </c>
      <c r="Z38" s="358">
        <f t="shared" si="64"/>
        <v>0</v>
      </c>
      <c r="AA38" s="358">
        <f t="shared" si="64"/>
        <v>0</v>
      </c>
      <c r="AB38" s="358">
        <f t="shared" si="64"/>
        <v>0</v>
      </c>
      <c r="AC38" s="358">
        <f t="shared" si="64"/>
        <v>0</v>
      </c>
      <c r="AD38" s="358">
        <f t="shared" si="64"/>
        <v>0</v>
      </c>
      <c r="AE38" s="358">
        <f t="shared" si="64"/>
        <v>0</v>
      </c>
      <c r="AF38" s="358">
        <f t="shared" si="64"/>
        <v>0</v>
      </c>
      <c r="AG38" s="358">
        <f t="shared" si="64"/>
        <v>0</v>
      </c>
      <c r="AH38" s="358">
        <f t="shared" si="64"/>
        <v>0</v>
      </c>
      <c r="AI38" s="358">
        <f t="shared" si="64"/>
        <v>0</v>
      </c>
    </row>
    <row r="39" spans="1:35">
      <c r="B39" s="97" t="s">
        <v>395</v>
      </c>
      <c r="D39" s="293">
        <v>0</v>
      </c>
      <c r="E39" s="541">
        <f>'Investment budget'!$I$40*'Pre-conditions'!D39</f>
        <v>0</v>
      </c>
      <c r="F39" s="358">
        <f t="shared" ref="F39:F41" si="67">IF($B$5&gt;F$14,0,IF(E39=0,$E39,E39*(1+$B$11)))</f>
        <v>0</v>
      </c>
      <c r="G39" s="358">
        <f t="shared" ref="G39:G41" si="68">IF($B$5&gt;G$14,0,IF(F39=0,$E39,F39*(1+$B$11)))</f>
        <v>0</v>
      </c>
      <c r="H39" s="358">
        <f t="shared" ref="H39:H41" si="69">IF($B$5&gt;H$14,0,IF(G39=0,$E39,G39*(1+$B$11)))</f>
        <v>0</v>
      </c>
      <c r="I39" s="358">
        <f t="shared" ref="I39:I41" si="70">IF($B$5&gt;I$14,0,IF(H39=0,$E39,H39*(1+$B$11)))</f>
        <v>0</v>
      </c>
      <c r="J39" s="358">
        <f t="shared" ref="J39:J41" si="71">IF($B$5&gt;J$14,0,IF(I39=0,$E39,I39*(1+$B$11)))</f>
        <v>0</v>
      </c>
      <c r="K39" s="358">
        <f t="shared" ref="K39:K41" si="72">IF($B$5&gt;K$14,0,IF(J39=0,$E39,J39*(1+$B$11)))</f>
        <v>0</v>
      </c>
      <c r="L39" s="358">
        <f t="shared" ref="L39:L41" si="73">IF($B$5&gt;L$14,0,IF(K39=0,$E39,K39*(1+$B$11)))</f>
        <v>0</v>
      </c>
      <c r="M39" s="358">
        <f t="shared" ref="M39:M41" si="74">IF($B$5&gt;M$14,0,IF(L39=0,$E39,L39*(1+$B$11)))</f>
        <v>0</v>
      </c>
      <c r="N39" s="358">
        <f t="shared" ref="N39:N41" si="75">IF($B$5&gt;N$14,0,IF(M39=0,$E39,M39*(1+$B$11)))</f>
        <v>0</v>
      </c>
      <c r="O39" s="358">
        <f t="shared" ref="O39:O41" si="76">IF($B$5&gt;O$14,0,IF(N39=0,$E39,N39*(1+$B$11)))</f>
        <v>0</v>
      </c>
      <c r="P39" s="358">
        <f t="shared" ref="P39:P41" si="77">IF($B$5&gt;P$14,0,IF(O39=0,$E39,O39*(1+$B$11)))</f>
        <v>0</v>
      </c>
      <c r="Q39" s="358">
        <f t="shared" ref="Q39:Q41" si="78">IF($B$5&gt;Q$14,0,IF(P39=0,$E39,P39*(1+$B$11)))</f>
        <v>0</v>
      </c>
      <c r="R39" s="358">
        <f t="shared" ref="R39:R41" si="79">IF($B$5&gt;R$14,0,IF(Q39=0,$E39,Q39*(1+$B$11)))</f>
        <v>0</v>
      </c>
      <c r="S39" s="358">
        <f t="shared" ref="S39:S41" si="80">IF($B$5&gt;S$14,0,IF(R39=0,$E39,R39*(1+$B$11)))</f>
        <v>0</v>
      </c>
      <c r="T39" s="358">
        <f t="shared" ref="T39:T41" si="81">IF($B$5&gt;T$14,0,IF(S39=0,$E39,S39*(1+$B$11)))</f>
        <v>0</v>
      </c>
      <c r="U39" s="358">
        <f t="shared" ref="U39:U41" si="82">IF($B$5&gt;U$14,0,IF(T39=0,$E39,T39*(1+$B$11)))</f>
        <v>0</v>
      </c>
      <c r="V39" s="358">
        <f t="shared" ref="V39:V41" si="83">IF($B$5&gt;V$14,0,IF(U39=0,$E39,U39*(1+$B$11)))</f>
        <v>0</v>
      </c>
      <c r="W39" s="358">
        <f t="shared" ref="W39:W41" si="84">IF($B$5&gt;W$14,0,IF(V39=0,$E39,V39*(1+$B$11)))</f>
        <v>0</v>
      </c>
      <c r="X39" s="358">
        <f t="shared" ref="X39:X41" si="85">IF($B$5&gt;X$14,0,IF(W39=0,$E39,W39*(1+$B$11)))</f>
        <v>0</v>
      </c>
      <c r="Y39" s="358">
        <f t="shared" ref="Y39:Y41" si="86">IF($B$5&gt;Y$14,0,IF(X39=0,$E39,X39*(1+$B$11)))</f>
        <v>0</v>
      </c>
      <c r="Z39" s="358">
        <f t="shared" ref="Z39:Z41" si="87">IF($B$5&gt;Z$14,0,IF(Y39=0,$E39,Y39*(1+$B$11)))</f>
        <v>0</v>
      </c>
      <c r="AA39" s="358">
        <f t="shared" ref="AA39:AA41" si="88">IF($B$5&gt;AA$14,0,IF(Z39=0,$E39,Z39*(1+$B$11)))</f>
        <v>0</v>
      </c>
      <c r="AB39" s="358">
        <f t="shared" ref="AB39:AB41" si="89">IF($B$5&gt;AB$14,0,IF(AA39=0,$E39,AA39*(1+$B$11)))</f>
        <v>0</v>
      </c>
      <c r="AC39" s="358">
        <f t="shared" ref="AC39:AC41" si="90">IF($B$5&gt;AC$14,0,IF(AB39=0,$E39,AB39*(1+$B$11)))</f>
        <v>0</v>
      </c>
      <c r="AD39" s="358">
        <f t="shared" ref="AD39:AD41" si="91">IF($B$5&gt;AD$14,0,IF(AC39=0,$E39,AC39*(1+$B$11)))</f>
        <v>0</v>
      </c>
      <c r="AE39" s="358">
        <f t="shared" ref="AE39:AE41" si="92">IF($B$5&gt;AE$14,0,IF(AD39=0,$E39,AD39*(1+$B$11)))</f>
        <v>0</v>
      </c>
      <c r="AF39" s="358">
        <f t="shared" ref="AF39:AF41" si="93">IF($B$5&gt;AF$14,0,IF(AE39=0,$E39,AE39*(1+$B$11)))</f>
        <v>0</v>
      </c>
      <c r="AG39" s="358">
        <f t="shared" ref="AG39:AG41" si="94">IF($B$5&gt;AG$14,0,IF(AF39=0,$E39,AF39*(1+$B$11)))</f>
        <v>0</v>
      </c>
      <c r="AH39" s="358">
        <f t="shared" ref="AH39:AH41" si="95">IF($B$5&gt;AH$14,0,IF(AG39=0,$E39,AG39*(1+$B$11)))</f>
        <v>0</v>
      </c>
      <c r="AI39" s="358">
        <f t="shared" ref="AI39:AI41" si="96">IF($B$5&gt;AI$14,0,IF(AH39=0,$E39,AH39*(1+$B$11)))</f>
        <v>0</v>
      </c>
    </row>
    <row r="40" spans="1:35">
      <c r="B40" s="97" t="s">
        <v>398</v>
      </c>
      <c r="D40" s="293">
        <v>0</v>
      </c>
      <c r="E40" s="541">
        <f>'Investment budget'!$I$40*'Pre-conditions'!D40</f>
        <v>0</v>
      </c>
      <c r="F40" s="358">
        <f t="shared" si="67"/>
        <v>0</v>
      </c>
      <c r="G40" s="358">
        <f t="shared" si="68"/>
        <v>0</v>
      </c>
      <c r="H40" s="358">
        <f t="shared" si="69"/>
        <v>0</v>
      </c>
      <c r="I40" s="358">
        <f t="shared" si="70"/>
        <v>0</v>
      </c>
      <c r="J40" s="358">
        <f t="shared" si="71"/>
        <v>0</v>
      </c>
      <c r="K40" s="358">
        <f t="shared" si="72"/>
        <v>0</v>
      </c>
      <c r="L40" s="358">
        <f t="shared" si="73"/>
        <v>0</v>
      </c>
      <c r="M40" s="358">
        <f t="shared" si="74"/>
        <v>0</v>
      </c>
      <c r="N40" s="358">
        <f t="shared" si="75"/>
        <v>0</v>
      </c>
      <c r="O40" s="358">
        <f t="shared" si="76"/>
        <v>0</v>
      </c>
      <c r="P40" s="358">
        <f t="shared" si="77"/>
        <v>0</v>
      </c>
      <c r="Q40" s="358">
        <f t="shared" si="78"/>
        <v>0</v>
      </c>
      <c r="R40" s="358">
        <f t="shared" si="79"/>
        <v>0</v>
      </c>
      <c r="S40" s="358">
        <f t="shared" si="80"/>
        <v>0</v>
      </c>
      <c r="T40" s="358">
        <f t="shared" si="81"/>
        <v>0</v>
      </c>
      <c r="U40" s="358">
        <f t="shared" si="82"/>
        <v>0</v>
      </c>
      <c r="V40" s="358">
        <f t="shared" si="83"/>
        <v>0</v>
      </c>
      <c r="W40" s="358">
        <f t="shared" si="84"/>
        <v>0</v>
      </c>
      <c r="X40" s="358">
        <f t="shared" si="85"/>
        <v>0</v>
      </c>
      <c r="Y40" s="358">
        <f t="shared" si="86"/>
        <v>0</v>
      </c>
      <c r="Z40" s="358">
        <f t="shared" si="87"/>
        <v>0</v>
      </c>
      <c r="AA40" s="358">
        <f t="shared" si="88"/>
        <v>0</v>
      </c>
      <c r="AB40" s="358">
        <f t="shared" si="89"/>
        <v>0</v>
      </c>
      <c r="AC40" s="358">
        <f t="shared" si="90"/>
        <v>0</v>
      </c>
      <c r="AD40" s="358">
        <f t="shared" si="91"/>
        <v>0</v>
      </c>
      <c r="AE40" s="358">
        <f t="shared" si="92"/>
        <v>0</v>
      </c>
      <c r="AF40" s="358">
        <f t="shared" si="93"/>
        <v>0</v>
      </c>
      <c r="AG40" s="358">
        <f t="shared" si="94"/>
        <v>0</v>
      </c>
      <c r="AH40" s="358">
        <f t="shared" si="95"/>
        <v>0</v>
      </c>
      <c r="AI40" s="358">
        <f t="shared" si="96"/>
        <v>0</v>
      </c>
    </row>
    <row r="41" spans="1:35">
      <c r="B41" s="97" t="s">
        <v>397</v>
      </c>
      <c r="D41" s="293">
        <v>0</v>
      </c>
      <c r="E41" s="541">
        <f>'Investment budget'!$I$40*'Pre-conditions'!D41</f>
        <v>0</v>
      </c>
      <c r="F41" s="358">
        <f t="shared" si="67"/>
        <v>0</v>
      </c>
      <c r="G41" s="358">
        <f t="shared" si="68"/>
        <v>0</v>
      </c>
      <c r="H41" s="358">
        <f t="shared" si="69"/>
        <v>0</v>
      </c>
      <c r="I41" s="358">
        <f t="shared" si="70"/>
        <v>0</v>
      </c>
      <c r="J41" s="358">
        <f t="shared" si="71"/>
        <v>0</v>
      </c>
      <c r="K41" s="358">
        <f t="shared" si="72"/>
        <v>0</v>
      </c>
      <c r="L41" s="358">
        <f t="shared" si="73"/>
        <v>0</v>
      </c>
      <c r="M41" s="358">
        <f t="shared" si="74"/>
        <v>0</v>
      </c>
      <c r="N41" s="358">
        <f t="shared" si="75"/>
        <v>0</v>
      </c>
      <c r="O41" s="358">
        <f t="shared" si="76"/>
        <v>0</v>
      </c>
      <c r="P41" s="358">
        <f t="shared" si="77"/>
        <v>0</v>
      </c>
      <c r="Q41" s="358">
        <f t="shared" si="78"/>
        <v>0</v>
      </c>
      <c r="R41" s="358">
        <f t="shared" si="79"/>
        <v>0</v>
      </c>
      <c r="S41" s="358">
        <f t="shared" si="80"/>
        <v>0</v>
      </c>
      <c r="T41" s="358">
        <f t="shared" si="81"/>
        <v>0</v>
      </c>
      <c r="U41" s="358">
        <f t="shared" si="82"/>
        <v>0</v>
      </c>
      <c r="V41" s="358">
        <f t="shared" si="83"/>
        <v>0</v>
      </c>
      <c r="W41" s="358">
        <f t="shared" si="84"/>
        <v>0</v>
      </c>
      <c r="X41" s="358">
        <f t="shared" si="85"/>
        <v>0</v>
      </c>
      <c r="Y41" s="358">
        <f t="shared" si="86"/>
        <v>0</v>
      </c>
      <c r="Z41" s="358">
        <f t="shared" si="87"/>
        <v>0</v>
      </c>
      <c r="AA41" s="358">
        <f t="shared" si="88"/>
        <v>0</v>
      </c>
      <c r="AB41" s="358">
        <f t="shared" si="89"/>
        <v>0</v>
      </c>
      <c r="AC41" s="358">
        <f t="shared" si="90"/>
        <v>0</v>
      </c>
      <c r="AD41" s="358">
        <f t="shared" si="91"/>
        <v>0</v>
      </c>
      <c r="AE41" s="358">
        <f t="shared" si="92"/>
        <v>0</v>
      </c>
      <c r="AF41" s="358">
        <f t="shared" si="93"/>
        <v>0</v>
      </c>
      <c r="AG41" s="358">
        <f t="shared" si="94"/>
        <v>0</v>
      </c>
      <c r="AH41" s="358">
        <f t="shared" si="95"/>
        <v>0</v>
      </c>
      <c r="AI41" s="358">
        <f t="shared" si="96"/>
        <v>0</v>
      </c>
    </row>
  </sheetData>
  <sheetProtection algorithmName="SHA-512" hashValue="sN4ynNO7I0feW4rYH+Cgx/d+xdxK141MNve6CCqcjMl5jIz6OHh3KRDs8D8mHfiiWHkKf8GcP/nbKfAvYjcyWw==" saltValue="ZwRYEsMLPq5DEaVxxtBTzA==" spinCount="100000" sheet="1" objects="1" scenarios="1"/>
  <conditionalFormatting sqref="O14">
    <cfRule type="cellIs" priority="1" operator="greaterThan">
      <formula>$B$8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FFC000"/>
    <pageSetUpPr fitToPage="1"/>
  </sheetPr>
  <dimension ref="A8:O42"/>
  <sheetViews>
    <sheetView workbookViewId="0">
      <selection activeCell="F10" sqref="F10"/>
    </sheetView>
  </sheetViews>
  <sheetFormatPr defaultColWidth="9.1171875" defaultRowHeight="14.35"/>
  <cols>
    <col min="1" max="1" width="42.29296875" style="97" customWidth="1"/>
    <col min="2" max="2" width="9.1171875" style="97"/>
    <col min="3" max="5" width="13.1171875" style="98" customWidth="1"/>
    <col min="6" max="6" width="13.703125" style="97" customWidth="1"/>
    <col min="7" max="8" width="12.5859375" style="97" customWidth="1"/>
    <col min="9" max="9" width="14.703125" style="97" bestFit="1" customWidth="1"/>
    <col min="10" max="16384" width="9.1171875" style="97"/>
  </cols>
  <sheetData>
    <row r="8" spans="1:12">
      <c r="C8" s="99" t="s">
        <v>58</v>
      </c>
      <c r="D8" s="99" t="s">
        <v>108</v>
      </c>
      <c r="E8" s="99" t="s">
        <v>59</v>
      </c>
      <c r="F8" s="99" t="s">
        <v>395</v>
      </c>
      <c r="G8" s="99" t="s">
        <v>398</v>
      </c>
      <c r="H8" s="99" t="s">
        <v>397</v>
      </c>
    </row>
    <row r="9" spans="1:12">
      <c r="A9" s="100" t="s">
        <v>87</v>
      </c>
      <c r="B9" s="100" t="s">
        <v>88</v>
      </c>
      <c r="C9" s="295">
        <v>8.5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</row>
    <row r="10" spans="1:12">
      <c r="A10" s="100" t="s">
        <v>157</v>
      </c>
      <c r="B10" s="100" t="s">
        <v>88</v>
      </c>
      <c r="C10" s="101">
        <f>C11*C9</f>
        <v>4.6750000000000007</v>
      </c>
      <c r="D10" s="101">
        <f>D11*D9</f>
        <v>0</v>
      </c>
      <c r="E10" s="101">
        <f>E11*E9</f>
        <v>0</v>
      </c>
      <c r="F10" s="101">
        <f t="shared" ref="F10:H10" si="0">F11*F9</f>
        <v>0</v>
      </c>
      <c r="G10" s="101">
        <f t="shared" si="0"/>
        <v>0</v>
      </c>
      <c r="H10" s="101">
        <f t="shared" si="0"/>
        <v>0</v>
      </c>
    </row>
    <row r="11" spans="1:12">
      <c r="A11" s="100" t="s">
        <v>158</v>
      </c>
      <c r="B11" s="100" t="s">
        <v>6</v>
      </c>
      <c r="C11" s="296">
        <v>0.55000000000000004</v>
      </c>
      <c r="D11" s="297">
        <v>0.9</v>
      </c>
      <c r="E11" s="297">
        <v>0.9</v>
      </c>
      <c r="F11" s="297"/>
      <c r="G11" s="297"/>
      <c r="H11" s="297"/>
      <c r="L11" s="573"/>
    </row>
    <row r="12" spans="1:12">
      <c r="A12" s="102"/>
      <c r="B12" s="102"/>
      <c r="C12" s="103"/>
      <c r="D12" s="104"/>
      <c r="E12" s="104"/>
      <c r="F12" s="104"/>
      <c r="G12" s="104"/>
      <c r="H12" s="104"/>
      <c r="L12" s="573"/>
    </row>
    <row r="13" spans="1:12">
      <c r="A13" s="100" t="s">
        <v>92</v>
      </c>
      <c r="B13" s="100"/>
      <c r="C13" s="105">
        <v>8760</v>
      </c>
      <c r="D13" s="105">
        <v>8760</v>
      </c>
      <c r="E13" s="105">
        <v>8760</v>
      </c>
      <c r="F13" s="105">
        <v>8760</v>
      </c>
      <c r="G13" s="105">
        <v>8760</v>
      </c>
      <c r="H13" s="105">
        <v>8760</v>
      </c>
    </row>
    <row r="14" spans="1:12">
      <c r="A14" s="100" t="s">
        <v>89</v>
      </c>
      <c r="B14" s="100" t="s">
        <v>90</v>
      </c>
      <c r="C14" s="298">
        <v>450</v>
      </c>
      <c r="D14" s="298">
        <v>500</v>
      </c>
      <c r="E14" s="298">
        <v>600</v>
      </c>
      <c r="F14" s="298"/>
      <c r="G14" s="298"/>
      <c r="H14" s="298"/>
    </row>
    <row r="15" spans="1:12">
      <c r="A15" s="100" t="s">
        <v>91</v>
      </c>
      <c r="B15" s="100" t="s">
        <v>90</v>
      </c>
      <c r="C15" s="298">
        <v>200</v>
      </c>
      <c r="D15" s="298">
        <v>50</v>
      </c>
      <c r="E15" s="298">
        <v>150</v>
      </c>
      <c r="F15" s="298"/>
      <c r="G15" s="298"/>
      <c r="H15" s="298"/>
    </row>
    <row r="16" spans="1:12">
      <c r="A16" s="102"/>
      <c r="B16" s="102"/>
      <c r="C16" s="104"/>
      <c r="D16" s="104"/>
      <c r="E16" s="104"/>
      <c r="F16" s="104"/>
      <c r="G16" s="104"/>
      <c r="H16" s="104"/>
    </row>
    <row r="17" spans="1:15">
      <c r="A17" s="100" t="s">
        <v>100</v>
      </c>
      <c r="B17" s="100" t="s">
        <v>68</v>
      </c>
      <c r="C17" s="106">
        <f>C9*C13</f>
        <v>74460</v>
      </c>
      <c r="D17" s="106">
        <f>D9*D13</f>
        <v>0</v>
      </c>
      <c r="E17" s="106">
        <f>E9*E13</f>
        <v>0</v>
      </c>
      <c r="F17" s="106">
        <f t="shared" ref="F17:H17" si="1">F9*F13</f>
        <v>0</v>
      </c>
      <c r="G17" s="106">
        <f t="shared" si="1"/>
        <v>0</v>
      </c>
      <c r="H17" s="106">
        <f t="shared" si="1"/>
        <v>0</v>
      </c>
      <c r="I17" s="201"/>
    </row>
    <row r="18" spans="1:15">
      <c r="A18" s="100" t="s">
        <v>159</v>
      </c>
      <c r="B18" s="100" t="s">
        <v>68</v>
      </c>
      <c r="C18" s="106">
        <f>C10*(C13-C14-C15)</f>
        <v>37914.250000000007</v>
      </c>
      <c r="D18" s="106">
        <f t="shared" ref="D18:E18" si="2">D10*(D13-D14-D15)</f>
        <v>0</v>
      </c>
      <c r="E18" s="106">
        <f t="shared" si="2"/>
        <v>0</v>
      </c>
      <c r="F18" s="106">
        <f t="shared" ref="F18:H18" si="3">F10*(F13-F14-F15)</f>
        <v>0</v>
      </c>
      <c r="G18" s="106">
        <f t="shared" si="3"/>
        <v>0</v>
      </c>
      <c r="H18" s="106">
        <f t="shared" si="3"/>
        <v>0</v>
      </c>
      <c r="I18" s="201"/>
    </row>
    <row r="19" spans="1:15">
      <c r="A19" s="100" t="s">
        <v>93</v>
      </c>
      <c r="B19" s="100" t="s">
        <v>68</v>
      </c>
      <c r="C19" s="106">
        <f>C10*C14</f>
        <v>2103.7500000000005</v>
      </c>
      <c r="D19" s="106">
        <f>D10*D14</f>
        <v>0</v>
      </c>
      <c r="E19" s="106">
        <f>E10*E14</f>
        <v>0</v>
      </c>
      <c r="F19" s="106">
        <f t="shared" ref="F19:H19" si="4">F10*F14</f>
        <v>0</v>
      </c>
      <c r="G19" s="106">
        <f t="shared" si="4"/>
        <v>0</v>
      </c>
      <c r="H19" s="106">
        <f t="shared" si="4"/>
        <v>0</v>
      </c>
      <c r="I19" s="201"/>
    </row>
    <row r="20" spans="1:15">
      <c r="A20" s="100" t="s">
        <v>94</v>
      </c>
      <c r="B20" s="100" t="s">
        <v>68</v>
      </c>
      <c r="C20" s="106">
        <f>C10*C15</f>
        <v>935.00000000000011</v>
      </c>
      <c r="D20" s="106">
        <f>D10*D15</f>
        <v>0</v>
      </c>
      <c r="E20" s="106">
        <f>E10*E15</f>
        <v>0</v>
      </c>
      <c r="F20" s="106">
        <f t="shared" ref="F20:H20" si="5">F10*F15</f>
        <v>0</v>
      </c>
      <c r="G20" s="106">
        <f t="shared" si="5"/>
        <v>0</v>
      </c>
      <c r="H20" s="106">
        <f t="shared" si="5"/>
        <v>0</v>
      </c>
    </row>
    <row r="21" spans="1:15">
      <c r="A21" s="100" t="s">
        <v>167</v>
      </c>
      <c r="B21" s="100" t="s">
        <v>68</v>
      </c>
      <c r="C21" s="106">
        <f>C18-C19-C20</f>
        <v>34875.500000000007</v>
      </c>
      <c r="D21" s="106">
        <f t="shared" ref="D21:E21" si="6">D18-D19-D20</f>
        <v>0</v>
      </c>
      <c r="E21" s="106">
        <f t="shared" si="6"/>
        <v>0</v>
      </c>
      <c r="F21" s="106">
        <f t="shared" ref="F21:H21" si="7">F18-F19-F20</f>
        <v>0</v>
      </c>
      <c r="G21" s="106">
        <f t="shared" si="7"/>
        <v>0</v>
      </c>
      <c r="H21" s="106">
        <f t="shared" si="7"/>
        <v>0</v>
      </c>
    </row>
    <row r="22" spans="1:15">
      <c r="A22" s="100" t="s">
        <v>160</v>
      </c>
      <c r="B22" s="100" t="s">
        <v>6</v>
      </c>
      <c r="C22" s="200">
        <f>IF(C9=0,0,C21/(C9*C13))</f>
        <v>0.46837899543379008</v>
      </c>
      <c r="D22" s="200">
        <f>IF(D9=0,0,D21/(D9*D13))</f>
        <v>0</v>
      </c>
      <c r="E22" s="200">
        <f>IF(E9=0,0,E21/(E9*E13))</f>
        <v>0</v>
      </c>
      <c r="F22" s="200">
        <f t="shared" ref="F22:H22" si="8">IF(F9=0,0,F21/(F9*F13))</f>
        <v>0</v>
      </c>
      <c r="G22" s="200">
        <f t="shared" si="8"/>
        <v>0</v>
      </c>
      <c r="H22" s="200">
        <f t="shared" si="8"/>
        <v>0</v>
      </c>
    </row>
    <row r="28" spans="1:15">
      <c r="K28" s="107"/>
      <c r="L28" s="107"/>
      <c r="M28" s="108"/>
      <c r="N28" s="108"/>
      <c r="O28" s="108"/>
    </row>
    <row r="29" spans="1:15">
      <c r="K29" s="109"/>
      <c r="L29" s="109"/>
      <c r="M29" s="110"/>
      <c r="N29" s="110"/>
      <c r="O29" s="110"/>
    </row>
    <row r="30" spans="1:15">
      <c r="K30" s="109"/>
      <c r="L30" s="109"/>
      <c r="M30" s="110"/>
      <c r="N30" s="110"/>
      <c r="O30" s="110"/>
    </row>
    <row r="31" spans="1:15">
      <c r="K31" s="109"/>
      <c r="L31" s="109"/>
      <c r="M31" s="111"/>
      <c r="N31" s="112"/>
      <c r="O31" s="112"/>
    </row>
    <row r="32" spans="1:15">
      <c r="K32" s="109"/>
      <c r="L32" s="109"/>
      <c r="M32" s="113"/>
      <c r="N32" s="113"/>
      <c r="O32" s="113"/>
    </row>
    <row r="33" spans="11:15">
      <c r="K33" s="109"/>
      <c r="L33" s="109"/>
      <c r="M33" s="113"/>
      <c r="N33" s="113"/>
      <c r="O33" s="113"/>
    </row>
    <row r="34" spans="11:15">
      <c r="K34" s="109"/>
      <c r="L34" s="109"/>
      <c r="M34" s="113"/>
      <c r="N34" s="113"/>
      <c r="O34" s="113"/>
    </row>
    <row r="35" spans="11:15">
      <c r="K35" s="109"/>
      <c r="L35" s="109"/>
      <c r="M35" s="113"/>
      <c r="N35" s="113"/>
      <c r="O35" s="113"/>
    </row>
    <row r="36" spans="11:15">
      <c r="K36" s="109"/>
      <c r="L36" s="109"/>
      <c r="M36" s="113"/>
      <c r="N36" s="113"/>
      <c r="O36" s="113"/>
    </row>
    <row r="37" spans="11:15">
      <c r="K37" s="109"/>
      <c r="L37" s="109"/>
      <c r="M37" s="114"/>
      <c r="N37" s="114"/>
      <c r="O37" s="114"/>
    </row>
    <row r="38" spans="11:15">
      <c r="K38" s="109"/>
      <c r="L38" s="109"/>
      <c r="M38" s="114"/>
      <c r="N38" s="114"/>
      <c r="O38" s="114"/>
    </row>
    <row r="39" spans="11:15">
      <c r="K39" s="109"/>
      <c r="L39" s="109"/>
      <c r="M39" s="114"/>
      <c r="N39" s="114"/>
      <c r="O39" s="114"/>
    </row>
    <row r="40" spans="11:15">
      <c r="K40" s="109"/>
      <c r="L40" s="109"/>
      <c r="M40" s="114"/>
      <c r="N40" s="114"/>
      <c r="O40" s="114"/>
    </row>
    <row r="41" spans="11:15">
      <c r="K41" s="109"/>
      <c r="L41" s="109"/>
      <c r="M41" s="114"/>
      <c r="N41" s="114"/>
      <c r="O41" s="114"/>
    </row>
    <row r="42" spans="11:15">
      <c r="K42" s="109"/>
      <c r="L42" s="109"/>
      <c r="M42" s="111"/>
      <c r="N42" s="111"/>
      <c r="O42" s="111"/>
    </row>
  </sheetData>
  <sheetProtection algorithmName="SHA-512" hashValue="YT5MjyHs0CUAPDLOKuqc4sqxWSMCdfjwZsx7d7NfVYDQln+t/M8DjFlcARstJD+icJb+9/vXSIQlLW4TRbgTQQ==" saltValue="sAR4hLBwMv6RDjhwIyfrSQ==" spinCount="100000" sheet="1" objects="1" scenarios="1"/>
  <mergeCells count="1">
    <mergeCell ref="L11:L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&amp;LApplication Form&amp;R&amp;D  &amp;T</oddHeader>
    <oddFooter>&amp;L&amp;G&amp;C&amp;Z&amp;F&amp;R&amp;A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B0F0"/>
    <pageSetUpPr fitToPage="1"/>
  </sheetPr>
  <dimension ref="A1:P110"/>
  <sheetViews>
    <sheetView workbookViewId="0">
      <selection activeCell="G13" sqref="G13"/>
    </sheetView>
  </sheetViews>
  <sheetFormatPr defaultColWidth="9.1171875" defaultRowHeight="14.35"/>
  <cols>
    <col min="1" max="1" width="5.1171875" style="97" customWidth="1"/>
    <col min="2" max="2" width="52.1171875" style="97" customWidth="1"/>
    <col min="3" max="3" width="10.41015625" style="97" customWidth="1"/>
    <col min="4" max="4" width="11.703125" style="97" customWidth="1"/>
    <col min="5" max="5" width="6.1171875" style="97" customWidth="1"/>
    <col min="6" max="6" width="3.87890625" style="97" customWidth="1"/>
    <col min="7" max="7" width="48" style="97" customWidth="1"/>
    <col min="8" max="8" width="10.41015625" style="97" customWidth="1"/>
    <col min="9" max="9" width="10.703125" style="97" customWidth="1"/>
    <col min="10" max="10" width="5.29296875" style="97" customWidth="1"/>
    <col min="11" max="11" width="4.1171875" style="97" customWidth="1"/>
    <col min="12" max="12" width="49.41015625" style="97" customWidth="1"/>
    <col min="13" max="16384" width="9.1171875" style="97"/>
  </cols>
  <sheetData>
    <row r="1" spans="1:14" ht="17.25" customHeight="1">
      <c r="A1" s="299"/>
      <c r="F1" s="300" t="s">
        <v>31</v>
      </c>
      <c r="G1" s="301"/>
      <c r="H1" s="302"/>
      <c r="I1" s="303">
        <f>SUM(H2:H4)</f>
        <v>0.6</v>
      </c>
      <c r="K1" s="300" t="s">
        <v>44</v>
      </c>
      <c r="L1" s="304"/>
      <c r="M1" s="305"/>
      <c r="N1" s="303">
        <f>SUM(M2:M12)</f>
        <v>2.1</v>
      </c>
    </row>
    <row r="2" spans="1:14">
      <c r="F2" s="306"/>
      <c r="G2" s="346" t="s">
        <v>317</v>
      </c>
      <c r="H2" s="344">
        <v>0.1</v>
      </c>
      <c r="I2" s="307"/>
      <c r="K2" s="306"/>
      <c r="L2" s="308" t="s">
        <v>359</v>
      </c>
      <c r="M2" s="344">
        <v>2.1</v>
      </c>
      <c r="N2" s="307"/>
    </row>
    <row r="3" spans="1:14">
      <c r="A3" s="309" t="s">
        <v>30</v>
      </c>
      <c r="B3" s="310"/>
      <c r="C3" s="301" t="s">
        <v>42</v>
      </c>
      <c r="D3" s="311" t="s">
        <v>4</v>
      </c>
      <c r="F3" s="306"/>
      <c r="G3" s="346" t="s">
        <v>318</v>
      </c>
      <c r="H3" s="344">
        <v>0.5</v>
      </c>
      <c r="I3" s="307"/>
      <c r="K3" s="306"/>
      <c r="L3" s="308" t="s">
        <v>360</v>
      </c>
      <c r="M3" s="344"/>
      <c r="N3" s="307"/>
    </row>
    <row r="4" spans="1:14">
      <c r="A4" s="312"/>
      <c r="B4" s="313"/>
      <c r="C4" s="574" t="s">
        <v>55</v>
      </c>
      <c r="D4" s="575"/>
      <c r="F4" s="314"/>
      <c r="G4" s="347"/>
      <c r="H4" s="345"/>
      <c r="I4" s="315"/>
      <c r="K4" s="306"/>
      <c r="L4" s="308" t="s">
        <v>361</v>
      </c>
      <c r="M4" s="344"/>
      <c r="N4" s="307"/>
    </row>
    <row r="5" spans="1:14">
      <c r="A5" s="316" t="s">
        <v>39</v>
      </c>
      <c r="B5" s="301"/>
      <c r="C5" s="317"/>
      <c r="D5" s="303">
        <f>SUM(C6:C13)</f>
        <v>0.28600000000000003</v>
      </c>
      <c r="F5" s="300" t="s">
        <v>32</v>
      </c>
      <c r="G5" s="301"/>
      <c r="H5" s="318"/>
      <c r="I5" s="303">
        <f>SUM(H6:H18)</f>
        <v>3.08</v>
      </c>
      <c r="K5" s="306"/>
      <c r="L5" s="308" t="s">
        <v>362</v>
      </c>
      <c r="M5" s="353"/>
      <c r="N5" s="307"/>
    </row>
    <row r="6" spans="1:14">
      <c r="A6" s="319"/>
      <c r="B6" s="181" t="s">
        <v>40</v>
      </c>
      <c r="C6" s="344">
        <v>1.7999999999999999E-2</v>
      </c>
      <c r="D6" s="320"/>
      <c r="F6" s="321"/>
      <c r="G6" s="308" t="s">
        <v>33</v>
      </c>
      <c r="H6" s="344">
        <v>0.05</v>
      </c>
      <c r="I6" s="307"/>
      <c r="K6" s="306"/>
      <c r="L6" s="308" t="s">
        <v>367</v>
      </c>
      <c r="M6" s="353"/>
      <c r="N6" s="307"/>
    </row>
    <row r="7" spans="1:14">
      <c r="A7" s="319"/>
      <c r="B7" s="181" t="s">
        <v>393</v>
      </c>
      <c r="C7" s="344">
        <v>0.2</v>
      </c>
      <c r="D7" s="320"/>
      <c r="F7" s="321"/>
      <c r="G7" s="308" t="s">
        <v>368</v>
      </c>
      <c r="H7" s="344">
        <v>0.03</v>
      </c>
      <c r="I7" s="307"/>
      <c r="K7" s="306"/>
      <c r="L7" s="308" t="s">
        <v>363</v>
      </c>
      <c r="M7" s="353"/>
      <c r="N7" s="307"/>
    </row>
    <row r="8" spans="1:14">
      <c r="A8" s="319"/>
      <c r="B8" s="181" t="s">
        <v>41</v>
      </c>
      <c r="C8" s="344">
        <v>0.05</v>
      </c>
      <c r="D8" s="320"/>
      <c r="F8" s="321"/>
      <c r="G8" s="308" t="s">
        <v>34</v>
      </c>
      <c r="H8" s="344">
        <v>3</v>
      </c>
      <c r="I8" s="307"/>
      <c r="K8" s="306"/>
      <c r="L8" s="308" t="s">
        <v>364</v>
      </c>
      <c r="M8" s="353"/>
      <c r="N8" s="307"/>
    </row>
    <row r="9" spans="1:14">
      <c r="A9" s="319"/>
      <c r="B9" s="181" t="s">
        <v>316</v>
      </c>
      <c r="C9" s="344">
        <v>3.0000000000000001E-3</v>
      </c>
      <c r="D9" s="320"/>
      <c r="F9" s="321"/>
      <c r="G9" s="308" t="s">
        <v>369</v>
      </c>
      <c r="H9" s="353"/>
      <c r="I9" s="307"/>
      <c r="K9" s="306"/>
      <c r="L9" s="308" t="s">
        <v>365</v>
      </c>
      <c r="M9" s="353"/>
      <c r="N9" s="307"/>
    </row>
    <row r="10" spans="1:14">
      <c r="A10" s="319"/>
      <c r="B10" s="181" t="s">
        <v>287</v>
      </c>
      <c r="C10" s="344">
        <v>1.4999999999999999E-2</v>
      </c>
      <c r="D10" s="320"/>
      <c r="F10" s="321"/>
      <c r="G10" s="308" t="s">
        <v>370</v>
      </c>
      <c r="H10" s="353"/>
      <c r="I10" s="307"/>
      <c r="K10" s="306"/>
      <c r="L10" s="346"/>
      <c r="M10" s="353"/>
      <c r="N10" s="307"/>
    </row>
    <row r="11" spans="1:14">
      <c r="A11" s="319"/>
      <c r="B11" s="346"/>
      <c r="C11" s="344"/>
      <c r="D11" s="320"/>
      <c r="F11" s="321"/>
      <c r="G11" s="308" t="s">
        <v>371</v>
      </c>
      <c r="H11" s="353"/>
      <c r="I11" s="307"/>
      <c r="K11" s="306"/>
      <c r="L11" s="346"/>
      <c r="M11" s="353"/>
      <c r="N11" s="307"/>
    </row>
    <row r="12" spans="1:14">
      <c r="A12" s="319"/>
      <c r="B12" s="346"/>
      <c r="C12" s="344"/>
      <c r="D12" s="320"/>
      <c r="F12" s="321"/>
      <c r="G12" s="308" t="s">
        <v>372</v>
      </c>
      <c r="H12" s="353"/>
      <c r="I12" s="307"/>
      <c r="K12" s="314"/>
      <c r="L12" s="347"/>
      <c r="M12" s="354"/>
      <c r="N12" s="315"/>
    </row>
    <row r="13" spans="1:14">
      <c r="A13" s="312"/>
      <c r="B13" s="313" t="s">
        <v>43</v>
      </c>
      <c r="C13" s="345"/>
      <c r="D13" s="322"/>
      <c r="F13" s="321"/>
      <c r="G13" s="308" t="s">
        <v>373</v>
      </c>
      <c r="H13" s="353"/>
      <c r="I13" s="307"/>
      <c r="K13" s="300" t="s">
        <v>305</v>
      </c>
      <c r="L13" s="304"/>
      <c r="M13" s="305"/>
      <c r="N13" s="303">
        <f>SUM(M15:M22)</f>
        <v>2.6000000000000005</v>
      </c>
    </row>
    <row r="14" spans="1:14">
      <c r="A14" s="300" t="s">
        <v>381</v>
      </c>
      <c r="B14" s="301"/>
      <c r="C14" s="302"/>
      <c r="D14" s="303">
        <f>SUM(C19:C24)</f>
        <v>0.49</v>
      </c>
      <c r="F14" s="321"/>
      <c r="G14" s="308" t="s">
        <v>374</v>
      </c>
      <c r="H14" s="353"/>
      <c r="I14" s="307"/>
      <c r="K14" s="323"/>
      <c r="L14" s="324" t="s">
        <v>357</v>
      </c>
      <c r="M14" s="357"/>
      <c r="N14" s="325"/>
    </row>
    <row r="15" spans="1:14">
      <c r="A15" s="323"/>
      <c r="B15" s="181" t="s">
        <v>382</v>
      </c>
      <c r="C15" s="344"/>
      <c r="D15" s="325"/>
      <c r="F15" s="321"/>
      <c r="G15" s="355"/>
      <c r="H15" s="353"/>
      <c r="I15" s="307"/>
      <c r="K15" s="323"/>
      <c r="L15" s="324" t="s">
        <v>329</v>
      </c>
      <c r="M15" s="353"/>
      <c r="N15" s="325"/>
    </row>
    <row r="16" spans="1:14">
      <c r="A16" s="323"/>
      <c r="B16" s="181" t="s">
        <v>383</v>
      </c>
      <c r="C16" s="344"/>
      <c r="D16" s="325"/>
      <c r="F16" s="321"/>
      <c r="G16" s="355"/>
      <c r="H16" s="353"/>
      <c r="I16" s="307"/>
      <c r="K16" s="306"/>
      <c r="L16" s="181" t="s">
        <v>48</v>
      </c>
      <c r="M16" s="353">
        <v>0.8</v>
      </c>
      <c r="N16" s="307"/>
    </row>
    <row r="17" spans="1:16">
      <c r="A17" s="323"/>
      <c r="B17" s="181" t="s">
        <v>388</v>
      </c>
      <c r="C17" s="344"/>
      <c r="D17" s="325"/>
      <c r="F17" s="321"/>
      <c r="G17" s="355"/>
      <c r="H17" s="353"/>
      <c r="I17" s="307"/>
      <c r="K17" s="306"/>
      <c r="L17" s="181" t="s">
        <v>46</v>
      </c>
      <c r="M17" s="353">
        <v>0.3</v>
      </c>
      <c r="N17" s="307"/>
    </row>
    <row r="18" spans="1:16">
      <c r="A18" s="323"/>
      <c r="B18" s="181" t="s">
        <v>384</v>
      </c>
      <c r="C18" s="344"/>
      <c r="D18" s="325"/>
      <c r="F18" s="326"/>
      <c r="G18" s="356"/>
      <c r="H18" s="354"/>
      <c r="I18" s="315"/>
      <c r="K18" s="306"/>
      <c r="L18" s="181" t="s">
        <v>47</v>
      </c>
      <c r="M18" s="353">
        <v>0.3</v>
      </c>
      <c r="N18" s="307"/>
    </row>
    <row r="19" spans="1:16">
      <c r="A19" s="306"/>
      <c r="B19" s="181" t="s">
        <v>385</v>
      </c>
      <c r="C19" s="344">
        <v>0.2</v>
      </c>
      <c r="D19" s="307"/>
      <c r="F19" s="323" t="s">
        <v>45</v>
      </c>
      <c r="G19" s="327"/>
      <c r="H19" s="328"/>
      <c r="I19" s="303">
        <f>SUM(H20:H34)</f>
        <v>3.9</v>
      </c>
      <c r="K19" s="306"/>
      <c r="L19" s="181" t="s">
        <v>303</v>
      </c>
      <c r="M19" s="353">
        <v>1</v>
      </c>
      <c r="N19" s="307"/>
    </row>
    <row r="20" spans="1:16">
      <c r="A20" s="306"/>
      <c r="B20" s="181" t="s">
        <v>386</v>
      </c>
      <c r="C20" s="344">
        <v>0.2</v>
      </c>
      <c r="D20" s="307"/>
      <c r="F20" s="323"/>
      <c r="G20" s="308" t="s">
        <v>357</v>
      </c>
      <c r="H20" s="357"/>
      <c r="I20" s="325" t="s">
        <v>183</v>
      </c>
      <c r="K20" s="306"/>
      <c r="L20" s="181" t="s">
        <v>304</v>
      </c>
      <c r="M20" s="353">
        <v>0.2</v>
      </c>
      <c r="N20" s="307"/>
    </row>
    <row r="21" spans="1:16">
      <c r="A21" s="306"/>
      <c r="B21" s="181" t="s">
        <v>387</v>
      </c>
      <c r="C21" s="344"/>
      <c r="D21" s="307"/>
      <c r="F21" s="323"/>
      <c r="G21" s="308" t="s">
        <v>358</v>
      </c>
      <c r="H21" s="357"/>
      <c r="I21" s="325"/>
      <c r="K21" s="306"/>
      <c r="L21" s="346"/>
      <c r="M21" s="353"/>
      <c r="N21" s="307"/>
    </row>
    <row r="22" spans="1:16">
      <c r="A22" s="306"/>
      <c r="B22" s="346"/>
      <c r="C22" s="344"/>
      <c r="D22" s="307"/>
      <c r="F22" s="323"/>
      <c r="G22" s="308" t="s">
        <v>359</v>
      </c>
      <c r="H22" s="357"/>
      <c r="I22" s="325"/>
      <c r="K22" s="314"/>
      <c r="L22" s="347" t="s">
        <v>3</v>
      </c>
      <c r="M22" s="354"/>
      <c r="N22" s="315"/>
    </row>
    <row r="23" spans="1:16">
      <c r="A23" s="306"/>
      <c r="B23" s="346"/>
      <c r="C23" s="344"/>
      <c r="D23" s="307"/>
      <c r="F23" s="323"/>
      <c r="G23" s="308" t="s">
        <v>360</v>
      </c>
      <c r="H23" s="357"/>
      <c r="I23" s="325"/>
      <c r="K23" s="323" t="s">
        <v>302</v>
      </c>
      <c r="L23" s="323"/>
      <c r="M23" s="302"/>
      <c r="N23" s="325">
        <f>SUM(M24:M27)</f>
        <v>0.47</v>
      </c>
    </row>
    <row r="24" spans="1:16">
      <c r="A24" s="314"/>
      <c r="B24" s="347" t="s">
        <v>43</v>
      </c>
      <c r="C24" s="345">
        <v>0.09</v>
      </c>
      <c r="D24" s="315"/>
      <c r="F24" s="323"/>
      <c r="G24" s="308" t="s">
        <v>361</v>
      </c>
      <c r="H24" s="357"/>
      <c r="I24" s="325"/>
      <c r="K24" s="321"/>
      <c r="L24" s="329" t="s">
        <v>353</v>
      </c>
      <c r="M24" s="344">
        <v>0.47</v>
      </c>
      <c r="N24" s="325"/>
    </row>
    <row r="25" spans="1:16">
      <c r="A25" s="300" t="s">
        <v>380</v>
      </c>
      <c r="B25" s="304"/>
      <c r="C25" s="330"/>
      <c r="D25" s="303">
        <f>SUM(C27:C35)</f>
        <v>2.21</v>
      </c>
      <c r="F25" s="323"/>
      <c r="G25" s="308" t="s">
        <v>362</v>
      </c>
      <c r="H25" s="357"/>
      <c r="I25" s="325"/>
      <c r="J25" s="179"/>
      <c r="K25" s="321"/>
      <c r="L25" s="329" t="s">
        <v>355</v>
      </c>
      <c r="M25" s="344"/>
      <c r="N25" s="325"/>
    </row>
    <row r="26" spans="1:16">
      <c r="A26" s="323"/>
      <c r="B26" s="324" t="s">
        <v>389</v>
      </c>
      <c r="C26" s="348"/>
      <c r="D26" s="325"/>
      <c r="F26" s="323"/>
      <c r="G26" s="308" t="s">
        <v>367</v>
      </c>
      <c r="H26" s="357"/>
      <c r="I26" s="325"/>
      <c r="J26" s="179"/>
      <c r="K26" s="321"/>
      <c r="L26" s="329" t="s">
        <v>356</v>
      </c>
      <c r="M26" s="344"/>
      <c r="N26" s="325"/>
    </row>
    <row r="27" spans="1:16">
      <c r="A27" s="323"/>
      <c r="B27" s="324" t="s">
        <v>352</v>
      </c>
      <c r="C27" s="349">
        <v>0.14899999999999999</v>
      </c>
      <c r="D27" s="325"/>
      <c r="F27" s="323"/>
      <c r="G27" s="308" t="s">
        <v>363</v>
      </c>
      <c r="H27" s="357"/>
      <c r="I27" s="325"/>
      <c r="J27" s="179"/>
      <c r="K27" s="326"/>
      <c r="L27" s="331" t="s">
        <v>354</v>
      </c>
      <c r="M27" s="344"/>
      <c r="N27" s="315"/>
      <c r="O27" s="179"/>
      <c r="P27" s="179"/>
    </row>
    <row r="28" spans="1:16">
      <c r="A28" s="323"/>
      <c r="B28" s="324" t="s">
        <v>390</v>
      </c>
      <c r="C28" s="349"/>
      <c r="D28" s="325"/>
      <c r="F28" s="306"/>
      <c r="G28" s="308" t="s">
        <v>364</v>
      </c>
      <c r="H28" s="344">
        <v>3.9</v>
      </c>
      <c r="I28" s="307"/>
      <c r="J28" s="179"/>
      <c r="K28" s="300" t="s">
        <v>49</v>
      </c>
      <c r="L28" s="304"/>
      <c r="M28" s="330"/>
      <c r="N28" s="303">
        <f>SUM(M29:M32)</f>
        <v>0.8</v>
      </c>
      <c r="O28" s="179"/>
      <c r="P28" s="179"/>
    </row>
    <row r="29" spans="1:16">
      <c r="A29" s="323"/>
      <c r="B29" s="324" t="s">
        <v>391</v>
      </c>
      <c r="C29" s="349">
        <v>1</v>
      </c>
      <c r="D29" s="325"/>
      <c r="F29" s="306"/>
      <c r="G29" s="308" t="s">
        <v>365</v>
      </c>
      <c r="H29" s="344"/>
      <c r="I29" s="307"/>
      <c r="J29" s="179"/>
      <c r="K29" s="306"/>
      <c r="L29" s="181" t="s">
        <v>35</v>
      </c>
      <c r="M29" s="349">
        <v>0.5</v>
      </c>
      <c r="N29" s="307"/>
      <c r="O29" s="179"/>
      <c r="P29" s="179"/>
    </row>
    <row r="30" spans="1:16">
      <c r="A30" s="323"/>
      <c r="B30" s="324" t="s">
        <v>392</v>
      </c>
      <c r="C30" s="349"/>
      <c r="D30" s="325"/>
      <c r="F30" s="306"/>
      <c r="G30" s="308" t="s">
        <v>366</v>
      </c>
      <c r="H30" s="344"/>
      <c r="I30" s="307"/>
      <c r="J30" s="179"/>
      <c r="K30" s="306"/>
      <c r="L30" s="181" t="s">
        <v>50</v>
      </c>
      <c r="M30" s="349">
        <v>0.05</v>
      </c>
      <c r="N30" s="307"/>
      <c r="O30" s="179"/>
      <c r="P30" s="179"/>
    </row>
    <row r="31" spans="1:16">
      <c r="A31" s="323"/>
      <c r="B31" s="324" t="s">
        <v>379</v>
      </c>
      <c r="C31" s="349"/>
      <c r="D31" s="325"/>
      <c r="F31" s="306"/>
      <c r="G31" s="346"/>
      <c r="H31" s="353"/>
      <c r="I31" s="307"/>
      <c r="J31" s="179"/>
      <c r="K31" s="306"/>
      <c r="L31" s="181" t="s">
        <v>51</v>
      </c>
      <c r="M31" s="349">
        <v>0.1</v>
      </c>
      <c r="N31" s="307"/>
      <c r="O31" s="179"/>
      <c r="P31" s="179"/>
    </row>
    <row r="32" spans="1:16">
      <c r="A32" s="306"/>
      <c r="B32" s="324" t="s">
        <v>56</v>
      </c>
      <c r="C32" s="349">
        <v>1</v>
      </c>
      <c r="D32" s="307"/>
      <c r="F32" s="306"/>
      <c r="G32" s="346"/>
      <c r="H32" s="353"/>
      <c r="I32" s="307"/>
      <c r="J32" s="179"/>
      <c r="K32" s="314"/>
      <c r="L32" s="347" t="s">
        <v>3</v>
      </c>
      <c r="M32" s="350">
        <v>0.15</v>
      </c>
      <c r="N32" s="315"/>
      <c r="O32" s="179"/>
      <c r="P32" s="179"/>
    </row>
    <row r="33" spans="1:16">
      <c r="A33" s="306"/>
      <c r="B33" s="351"/>
      <c r="C33" s="349"/>
      <c r="D33" s="307"/>
      <c r="F33" s="306"/>
      <c r="G33" s="346"/>
      <c r="H33" s="353"/>
      <c r="I33" s="307"/>
      <c r="J33" s="179"/>
      <c r="K33" s="300" t="s">
        <v>36</v>
      </c>
      <c r="L33" s="301"/>
      <c r="M33" s="302"/>
      <c r="N33" s="303">
        <f>SUM(M34:M35)</f>
        <v>0.8</v>
      </c>
      <c r="O33" s="179"/>
      <c r="P33" s="179"/>
    </row>
    <row r="34" spans="1:16">
      <c r="A34" s="306"/>
      <c r="B34" s="351"/>
      <c r="C34" s="349"/>
      <c r="D34" s="307"/>
      <c r="F34" s="306"/>
      <c r="G34" s="346"/>
      <c r="H34" s="353"/>
      <c r="I34" s="307"/>
      <c r="J34" s="179"/>
      <c r="K34" s="306"/>
      <c r="L34" s="181" t="s">
        <v>52</v>
      </c>
      <c r="M34" s="349">
        <v>0.3</v>
      </c>
      <c r="N34" s="307"/>
      <c r="O34" s="179"/>
      <c r="P34" s="179"/>
    </row>
    <row r="35" spans="1:16">
      <c r="A35" s="314"/>
      <c r="B35" s="352" t="s">
        <v>3</v>
      </c>
      <c r="C35" s="350">
        <v>6.0999999999999999E-2</v>
      </c>
      <c r="D35" s="315"/>
      <c r="J35" s="179"/>
      <c r="K35" s="314"/>
      <c r="L35" s="313" t="s">
        <v>53</v>
      </c>
      <c r="M35" s="345">
        <v>0.5</v>
      </c>
      <c r="N35" s="315"/>
      <c r="O35" s="179"/>
      <c r="P35" s="179"/>
    </row>
    <row r="36" spans="1:16">
      <c r="F36" s="332" t="s">
        <v>394</v>
      </c>
      <c r="G36" s="301"/>
      <c r="H36" s="301"/>
      <c r="I36" s="311" t="s">
        <v>21</v>
      </c>
      <c r="J36" s="179"/>
      <c r="K36" s="300" t="s">
        <v>37</v>
      </c>
      <c r="L36" s="304"/>
      <c r="M36" s="305"/>
      <c r="N36" s="303">
        <v>2</v>
      </c>
      <c r="O36" s="179"/>
      <c r="P36" s="179"/>
    </row>
    <row r="37" spans="1:16" ht="15.35">
      <c r="F37" s="321" t="s">
        <v>73</v>
      </c>
      <c r="G37" s="181"/>
      <c r="H37" s="181"/>
      <c r="I37" s="320">
        <f>SUM(I38:I40)</f>
        <v>19.335999999999999</v>
      </c>
      <c r="J37" s="179"/>
      <c r="K37" s="314"/>
      <c r="L37" s="313" t="s">
        <v>54</v>
      </c>
      <c r="M37" s="354">
        <v>1</v>
      </c>
      <c r="N37" s="315"/>
      <c r="O37" s="333"/>
      <c r="P37" s="179"/>
    </row>
    <row r="38" spans="1:16">
      <c r="F38" s="321" t="s">
        <v>75</v>
      </c>
      <c r="G38" s="181"/>
      <c r="H38" s="181"/>
      <c r="I38" s="320">
        <f>ROUND('Investment budget'!D5+'Investment budget'!D14+'Investment budget'!D25,3)</f>
        <v>2.9860000000000002</v>
      </c>
      <c r="J38" s="179"/>
      <c r="K38" s="306"/>
      <c r="L38" s="181"/>
      <c r="M38" s="353"/>
      <c r="N38" s="307"/>
      <c r="O38" s="179"/>
      <c r="P38" s="179"/>
    </row>
    <row r="39" spans="1:16">
      <c r="F39" s="321" t="s">
        <v>74</v>
      </c>
      <c r="G39" s="181"/>
      <c r="H39" s="181"/>
      <c r="I39" s="320">
        <f>ROUND('Investment budget'!N28+'Investment budget'!N33+'Investment budget'!N36,3)</f>
        <v>3.6</v>
      </c>
      <c r="J39" s="179"/>
      <c r="K39" s="300"/>
      <c r="L39" s="301"/>
      <c r="M39" s="305"/>
      <c r="N39" s="311"/>
      <c r="O39" s="179"/>
      <c r="P39" s="179"/>
    </row>
    <row r="40" spans="1:16">
      <c r="F40" s="326" t="s">
        <v>70</v>
      </c>
      <c r="G40" s="313"/>
      <c r="H40" s="313"/>
      <c r="I40" s="334">
        <f>ROUND('Investment budget'!I1+'Investment budget'!I5+'Investment budget'!I19+'Investment budget'!N1+'Investment budget'!N13+'Investment budget'!N23,3)</f>
        <v>12.75</v>
      </c>
      <c r="J40" s="179"/>
      <c r="K40" s="335" t="s">
        <v>38</v>
      </c>
      <c r="L40" s="336"/>
      <c r="M40" s="337"/>
      <c r="N40" s="338">
        <f>SUM(D5:D35)+SUM(I1:I35)+SUM(N1:N36)</f>
        <v>19.335999999999999</v>
      </c>
      <c r="O40" s="179"/>
      <c r="P40" s="179"/>
    </row>
    <row r="41" spans="1:16">
      <c r="J41" s="179"/>
      <c r="K41" s="339"/>
      <c r="L41" s="340"/>
      <c r="M41" s="179"/>
      <c r="N41" s="179"/>
      <c r="O41" s="179"/>
      <c r="P41" s="179"/>
    </row>
    <row r="42" spans="1:16">
      <c r="J42" s="179"/>
      <c r="K42" s="339"/>
      <c r="L42" s="340"/>
      <c r="M42" s="179"/>
      <c r="N42" s="179"/>
      <c r="O42" s="179"/>
      <c r="P42" s="179"/>
    </row>
    <row r="43" spans="1:16" ht="14.7">
      <c r="J43" s="179"/>
      <c r="K43" s="341"/>
      <c r="L43" s="342"/>
      <c r="M43" s="179"/>
      <c r="N43" s="179"/>
      <c r="O43" s="179"/>
      <c r="P43" s="179"/>
    </row>
    <row r="44" spans="1:16">
      <c r="J44" s="179"/>
      <c r="K44" s="179"/>
      <c r="L44" s="179"/>
      <c r="M44" s="179"/>
      <c r="N44" s="179"/>
      <c r="O44" s="179"/>
      <c r="P44" s="179"/>
    </row>
    <row r="45" spans="1:16">
      <c r="J45" s="179"/>
      <c r="K45" s="179"/>
      <c r="L45" s="179"/>
      <c r="M45" s="179"/>
      <c r="N45" s="179"/>
      <c r="O45" s="179"/>
      <c r="P45" s="179"/>
    </row>
    <row r="46" spans="1:16">
      <c r="J46" s="179"/>
      <c r="K46" s="179"/>
      <c r="L46" s="179"/>
      <c r="M46" s="179"/>
      <c r="N46" s="179"/>
      <c r="O46" s="179"/>
      <c r="P46" s="179"/>
    </row>
    <row r="47" spans="1:16">
      <c r="J47" s="179"/>
      <c r="K47" s="179"/>
      <c r="L47" s="179"/>
      <c r="M47" s="179"/>
      <c r="N47" s="179"/>
      <c r="O47" s="179"/>
      <c r="P47" s="179"/>
    </row>
    <row r="48" spans="1:16">
      <c r="J48" s="179"/>
      <c r="K48" s="179"/>
      <c r="L48" s="179"/>
      <c r="M48" s="179"/>
      <c r="N48" s="179"/>
      <c r="O48" s="179"/>
      <c r="P48" s="179"/>
    </row>
    <row r="49" spans="10:16">
      <c r="J49" s="179"/>
      <c r="K49" s="179"/>
      <c r="L49" s="179"/>
      <c r="M49" s="179"/>
      <c r="N49" s="179"/>
      <c r="O49" s="179"/>
      <c r="P49" s="179"/>
    </row>
    <row r="50" spans="10:16">
      <c r="J50" s="179"/>
      <c r="K50" s="179"/>
      <c r="L50" s="179"/>
      <c r="M50" s="179"/>
      <c r="N50" s="179"/>
      <c r="O50" s="179"/>
      <c r="P50" s="179"/>
    </row>
    <row r="51" spans="10:16">
      <c r="J51" s="179"/>
      <c r="K51" s="179"/>
      <c r="L51" s="179"/>
      <c r="M51" s="179"/>
      <c r="N51" s="179"/>
      <c r="O51" s="179"/>
      <c r="P51" s="179"/>
    </row>
    <row r="52" spans="10:16">
      <c r="J52" s="179"/>
      <c r="K52" s="179"/>
      <c r="L52" s="179"/>
      <c r="M52" s="179"/>
      <c r="N52" s="179"/>
      <c r="O52" s="179"/>
      <c r="P52" s="179"/>
    </row>
    <row r="53" spans="10:16">
      <c r="J53" s="179"/>
      <c r="K53" s="179"/>
      <c r="L53" s="179"/>
      <c r="M53" s="179"/>
      <c r="N53" s="179"/>
      <c r="O53" s="179"/>
      <c r="P53" s="179"/>
    </row>
    <row r="54" spans="10:16">
      <c r="J54" s="179"/>
      <c r="K54" s="179"/>
      <c r="L54" s="179"/>
      <c r="M54" s="179"/>
      <c r="N54" s="179"/>
      <c r="O54" s="179"/>
      <c r="P54" s="179"/>
    </row>
    <row r="55" spans="10:16">
      <c r="J55" s="179"/>
      <c r="K55" s="179"/>
      <c r="L55" s="179"/>
      <c r="M55" s="179"/>
      <c r="N55" s="179"/>
      <c r="O55" s="179"/>
      <c r="P55" s="179"/>
    </row>
    <row r="56" spans="10:16">
      <c r="K56" s="179"/>
      <c r="L56" s="179"/>
      <c r="M56" s="179"/>
      <c r="N56" s="179"/>
      <c r="O56" s="179"/>
      <c r="P56" s="179"/>
    </row>
    <row r="57" spans="10:16">
      <c r="O57" s="179"/>
      <c r="P57" s="179"/>
    </row>
    <row r="110" spans="4:4">
      <c r="D110" s="343"/>
    </row>
  </sheetData>
  <sheetProtection algorithmName="SHA-512" hashValue="bgtrnoCNLN5G0mrmQUDheLwT2aednRC+YjzrXDIRWeGAEK6rsOV3ITnRe0nlrCgCrmH2WSbzuPayXS6TLE8dFQ==" saltValue="iWDQn0YwR1ZdGWR6WjQnXA==" spinCount="100000" sheet="1" objects="1" scenarios="1"/>
  <mergeCells count="1">
    <mergeCell ref="C4:D4"/>
  </mergeCells>
  <conditionalFormatting sqref="G5:H5 L1:M1 G9:I18 G6:G8 I6:I8 G31:I34 G28:G30 I28:I30 L5:N12 L2:L4 N2:N4 G20:I27 G19:H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{BDFC94FF-1B36-43CC-9DAE-214FFB20FBB8}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&amp;LApplication Form&amp;R&amp;D  &amp;T</oddHeader>
    <oddFooter>&amp;L&amp;G&amp;C&amp;Z&amp;F&amp;R&amp;A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FC94FF-1B36-43CC-9DAE-214FFB20FB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G5:H5 L1:M1 G9:I18 G6:G8 I6:I8 G31:I34 G28:G30 I28:I30 L5:N12 L2:L4 N2:N4 G20:I27 G19:H19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0070C0"/>
    <pageSetUpPr fitToPage="1"/>
  </sheetPr>
  <dimension ref="A1:AL92"/>
  <sheetViews>
    <sheetView workbookViewId="0">
      <selection activeCell="B14" sqref="B14"/>
    </sheetView>
  </sheetViews>
  <sheetFormatPr defaultColWidth="9.1171875" defaultRowHeight="14.35"/>
  <cols>
    <col min="1" max="1" width="38" style="97" customWidth="1"/>
    <col min="2" max="2" width="11.1171875" style="97" customWidth="1"/>
    <col min="3" max="3" width="10.41015625" style="97" customWidth="1"/>
    <col min="4" max="4" width="10.1171875" style="97" customWidth="1"/>
    <col min="5" max="5" width="9.5859375" style="97" customWidth="1"/>
    <col min="6" max="6" width="8" style="97" customWidth="1"/>
    <col min="7" max="7" width="9.87890625" style="97" customWidth="1"/>
    <col min="8" max="8" width="10" style="98" customWidth="1"/>
    <col min="9" max="13" width="7.1171875" style="97" customWidth="1"/>
    <col min="14" max="14" width="8.87890625" style="97" bestFit="1" customWidth="1"/>
    <col min="15" max="18" width="7.1171875" style="97" customWidth="1"/>
    <col min="19" max="19" width="7.41015625" style="97" customWidth="1"/>
    <col min="20" max="38" width="7.1171875" style="97" customWidth="1"/>
    <col min="39" max="16384" width="9.1171875" style="97"/>
  </cols>
  <sheetData>
    <row r="1" spans="1:12">
      <c r="A1" s="102" t="s">
        <v>27</v>
      </c>
      <c r="B1" s="102">
        <f>'Pre-conditions'!B4</f>
        <v>2015</v>
      </c>
    </row>
    <row r="2" spans="1:12">
      <c r="A2" s="102" t="s">
        <v>23</v>
      </c>
      <c r="B2" s="358">
        <f>'Investment budget'!N40</f>
        <v>19.335999999999999</v>
      </c>
      <c r="H2" s="359"/>
      <c r="I2" s="360"/>
      <c r="J2" s="361"/>
    </row>
    <row r="3" spans="1:12">
      <c r="A3" s="102" t="s">
        <v>137</v>
      </c>
      <c r="B3" s="519">
        <v>0.5</v>
      </c>
      <c r="H3" s="362"/>
      <c r="I3" s="363"/>
      <c r="J3" s="361"/>
    </row>
    <row r="4" spans="1:12" ht="29.25" customHeight="1">
      <c r="A4" s="364" t="s">
        <v>5</v>
      </c>
      <c r="B4" s="365" t="s">
        <v>25</v>
      </c>
      <c r="C4" s="366" t="s">
        <v>24</v>
      </c>
      <c r="D4" s="367" t="s">
        <v>128</v>
      </c>
      <c r="E4" s="368" t="s">
        <v>129</v>
      </c>
      <c r="H4" s="362"/>
      <c r="I4" s="363"/>
      <c r="J4" s="361"/>
    </row>
    <row r="5" spans="1:12">
      <c r="A5" s="306" t="str">
        <f>'Applicant information'!B10</f>
        <v>REN-Power Plc</v>
      </c>
      <c r="B5" s="520">
        <v>0.05</v>
      </c>
      <c r="C5" s="369">
        <f>B5*B$2</f>
        <v>0.96679999999999999</v>
      </c>
      <c r="D5" s="521">
        <v>6.5000000000000002E-2</v>
      </c>
      <c r="E5" s="370"/>
      <c r="H5" s="371"/>
      <c r="I5" s="360"/>
      <c r="J5" s="361"/>
    </row>
    <row r="6" spans="1:12">
      <c r="A6" s="306" t="str">
        <f>'Applicant information'!B11</f>
        <v>India Eco Energy Invest</v>
      </c>
      <c r="B6" s="520">
        <v>0.3</v>
      </c>
      <c r="C6" s="369">
        <f>B6*B$2</f>
        <v>5.8007999999999997</v>
      </c>
      <c r="D6" s="522">
        <v>7.4999999999999997E-2</v>
      </c>
      <c r="E6" s="372"/>
      <c r="H6" s="371"/>
      <c r="I6" s="373"/>
      <c r="J6" s="361"/>
    </row>
    <row r="7" spans="1:12">
      <c r="A7" s="306" t="str">
        <f>'Applicant information'!B12</f>
        <v>N/A</v>
      </c>
      <c r="B7" s="520">
        <v>0</v>
      </c>
      <c r="C7" s="369">
        <f>B7*B$2</f>
        <v>0</v>
      </c>
      <c r="D7" s="522">
        <v>0</v>
      </c>
      <c r="E7" s="372"/>
      <c r="H7" s="371"/>
      <c r="I7" s="374"/>
      <c r="J7" s="361"/>
    </row>
    <row r="8" spans="1:12">
      <c r="A8" s="306" t="str">
        <f>'Applicant information'!B13</f>
        <v>N/A</v>
      </c>
      <c r="B8" s="520">
        <v>0</v>
      </c>
      <c r="C8" s="369">
        <f>B8*B$2</f>
        <v>0</v>
      </c>
      <c r="D8" s="522">
        <v>0</v>
      </c>
      <c r="E8" s="372"/>
      <c r="H8" s="371"/>
      <c r="I8" s="374"/>
      <c r="K8" s="361"/>
    </row>
    <row r="9" spans="1:12">
      <c r="A9" s="306" t="str">
        <f>'Applicant information'!B14</f>
        <v>N/A</v>
      </c>
      <c r="B9" s="520">
        <v>0</v>
      </c>
      <c r="C9" s="369">
        <f>B9*B$2</f>
        <v>0</v>
      </c>
      <c r="D9" s="522">
        <v>0</v>
      </c>
      <c r="E9" s="372"/>
      <c r="H9" s="371"/>
    </row>
    <row r="10" spans="1:12" ht="14.7" thickBot="1">
      <c r="A10" s="375" t="s">
        <v>7</v>
      </c>
      <c r="B10" s="376">
        <f>SUM(B5:B9)</f>
        <v>0.35</v>
      </c>
      <c r="C10" s="377">
        <f>SUM(C5:C9)</f>
        <v>6.7675999999999998</v>
      </c>
      <c r="D10" s="378">
        <f>C10/C21</f>
        <v>0.32111165861269947</v>
      </c>
      <c r="E10" s="379">
        <f>'Pre-conditions'!B9+Financing!B3*(Financing!D5*Financing!C5+Financing!D6*Financing!C6+Financing!D7*Financing!C7+Financing!D8*Financing!C8+Financing!D9*Financing!C9)/C10</f>
        <v>0.11178571428571428</v>
      </c>
      <c r="I10" s="380"/>
    </row>
    <row r="11" spans="1:12" ht="14.7" thickTop="1">
      <c r="A11" s="306" t="str">
        <f>'Applicant information'!B21</f>
        <v>Standard Chartered Bank</v>
      </c>
      <c r="B11" s="381">
        <f t="shared" ref="B11:B16" si="0">C11/B$2</f>
        <v>0.31030202730657841</v>
      </c>
      <c r="C11" s="523">
        <v>6</v>
      </c>
      <c r="D11" s="382"/>
      <c r="E11" s="372"/>
      <c r="I11" s="361"/>
    </row>
    <row r="12" spans="1:12">
      <c r="A12" s="306" t="str">
        <f>'Applicant information'!B22</f>
        <v>India Eco Energy Invest</v>
      </c>
      <c r="B12" s="381">
        <f t="shared" si="0"/>
        <v>0.23272652047993381</v>
      </c>
      <c r="C12" s="523">
        <v>4.5</v>
      </c>
      <c r="D12" s="382"/>
      <c r="E12" s="372"/>
    </row>
    <row r="13" spans="1:12">
      <c r="A13" s="306" t="str">
        <f>'Applicant information'!B23</f>
        <v>N/A</v>
      </c>
      <c r="B13" s="381">
        <f t="shared" si="0"/>
        <v>0</v>
      </c>
      <c r="C13" s="523">
        <v>0</v>
      </c>
      <c r="D13" s="382"/>
      <c r="E13" s="372"/>
    </row>
    <row r="14" spans="1:12">
      <c r="A14" s="306" t="str">
        <f>'Applicant information'!B24</f>
        <v>N/A</v>
      </c>
      <c r="B14" s="381">
        <f t="shared" si="0"/>
        <v>0</v>
      </c>
      <c r="C14" s="523">
        <v>0</v>
      </c>
      <c r="D14" s="382"/>
      <c r="E14" s="372"/>
      <c r="L14" s="383"/>
    </row>
    <row r="15" spans="1:12">
      <c r="A15" s="306" t="str">
        <f>'Applicant information'!B25</f>
        <v>Supplier NN</v>
      </c>
      <c r="B15" s="381">
        <f t="shared" si="0"/>
        <v>5.1872155564749688E-2</v>
      </c>
      <c r="C15" s="523">
        <v>1.0029999999999999</v>
      </c>
      <c r="D15" s="382"/>
      <c r="E15" s="372"/>
    </row>
    <row r="16" spans="1:12">
      <c r="A16" s="306" t="str">
        <f>'Applicant information'!B26</f>
        <v>Mezzanine loan</v>
      </c>
      <c r="B16" s="384">
        <f t="shared" si="0"/>
        <v>5.5078609846917669E-2</v>
      </c>
      <c r="C16" s="524">
        <v>1.0649999999999999</v>
      </c>
      <c r="D16" s="385"/>
      <c r="E16" s="386"/>
      <c r="K16" s="387"/>
    </row>
    <row r="17" spans="1:38">
      <c r="A17" s="388" t="s">
        <v>29</v>
      </c>
      <c r="B17" s="389">
        <f>SUM(B11:B16)</f>
        <v>0.64997931319817959</v>
      </c>
      <c r="C17" s="390">
        <f>SUM(C11:C16)</f>
        <v>12.568</v>
      </c>
      <c r="D17" s="391"/>
      <c r="E17" s="392"/>
      <c r="H17" s="393"/>
    </row>
    <row r="18" spans="1:38">
      <c r="A18" s="388" t="s">
        <v>333</v>
      </c>
      <c r="B18" s="389">
        <f>B10+B17</f>
        <v>0.99997931319817956</v>
      </c>
      <c r="C18" s="390">
        <f>C10+C17</f>
        <v>19.335599999999999</v>
      </c>
      <c r="D18" s="382"/>
      <c r="E18" s="394"/>
      <c r="I18" s="383"/>
    </row>
    <row r="19" spans="1:38">
      <c r="A19" s="306" t="s">
        <v>18</v>
      </c>
      <c r="B19" s="381">
        <f>C19/B$2</f>
        <v>8.9984226313611942E-2</v>
      </c>
      <c r="C19" s="369">
        <f>H34</f>
        <v>1.7399350000000005</v>
      </c>
      <c r="D19" s="382"/>
      <c r="E19" s="394"/>
      <c r="J19" s="383"/>
    </row>
    <row r="20" spans="1:38">
      <c r="A20" s="395" t="s">
        <v>9</v>
      </c>
      <c r="B20" s="396">
        <f>B19</f>
        <v>8.9984226313611942E-2</v>
      </c>
      <c r="C20" s="397">
        <f>C17+C19</f>
        <v>14.307935000000001</v>
      </c>
      <c r="D20" s="398">
        <f>1-D10</f>
        <v>0.67888834138730059</v>
      </c>
      <c r="E20" s="379">
        <f>(H34/H33)*(1-'Pre-conditions'!B12)</f>
        <v>6.2988958419528354E-2</v>
      </c>
      <c r="H20" s="361"/>
      <c r="I20" s="98"/>
      <c r="J20" s="360"/>
      <c r="K20" s="399"/>
      <c r="L20" s="213"/>
      <c r="M20" s="400"/>
      <c r="N20" s="401"/>
      <c r="O20" s="402"/>
      <c r="P20" s="403"/>
    </row>
    <row r="21" spans="1:38" ht="14.7" thickBot="1">
      <c r="A21" s="375" t="s">
        <v>8</v>
      </c>
      <c r="B21" s="376">
        <f>B10+B20</f>
        <v>0.43998422631361189</v>
      </c>
      <c r="C21" s="404">
        <f>C10+C20</f>
        <v>21.075535000000002</v>
      </c>
      <c r="D21" s="385"/>
      <c r="E21" s="405">
        <f>D10*E10+D20*E20</f>
        <v>7.8658165630638294E-2</v>
      </c>
      <c r="H21" s="97"/>
      <c r="I21" s="361"/>
      <c r="J21" s="360"/>
      <c r="K21" s="406"/>
      <c r="N21" s="361"/>
      <c r="O21" s="360"/>
      <c r="P21" s="406"/>
    </row>
    <row r="22" spans="1:38" ht="14.7" thickTop="1"/>
    <row r="23" spans="1:38" s="415" customFormat="1" ht="28.7">
      <c r="A23" s="407" t="s">
        <v>0</v>
      </c>
      <c r="B23" s="408" t="s">
        <v>15</v>
      </c>
      <c r="C23" s="409" t="s">
        <v>16</v>
      </c>
      <c r="D23" s="410" t="s">
        <v>26</v>
      </c>
      <c r="E23" s="576" t="s">
        <v>19</v>
      </c>
      <c r="F23" s="577"/>
      <c r="G23" s="578"/>
      <c r="H23" s="411" t="s">
        <v>20</v>
      </c>
      <c r="I23" s="412">
        <f>B1</f>
        <v>2015</v>
      </c>
      <c r="J23" s="413">
        <f>I23+1</f>
        <v>2016</v>
      </c>
      <c r="K23" s="413">
        <f t="shared" ref="K23:AE23" si="1">J23+1</f>
        <v>2017</v>
      </c>
      <c r="L23" s="413">
        <f t="shared" si="1"/>
        <v>2018</v>
      </c>
      <c r="M23" s="413">
        <f t="shared" si="1"/>
        <v>2019</v>
      </c>
      <c r="N23" s="413">
        <f t="shared" si="1"/>
        <v>2020</v>
      </c>
      <c r="O23" s="413">
        <f t="shared" si="1"/>
        <v>2021</v>
      </c>
      <c r="P23" s="413">
        <f t="shared" si="1"/>
        <v>2022</v>
      </c>
      <c r="Q23" s="413">
        <f t="shared" si="1"/>
        <v>2023</v>
      </c>
      <c r="R23" s="413">
        <f t="shared" si="1"/>
        <v>2024</v>
      </c>
      <c r="S23" s="413">
        <f t="shared" si="1"/>
        <v>2025</v>
      </c>
      <c r="T23" s="413">
        <f t="shared" si="1"/>
        <v>2026</v>
      </c>
      <c r="U23" s="413">
        <f t="shared" si="1"/>
        <v>2027</v>
      </c>
      <c r="V23" s="413">
        <f t="shared" si="1"/>
        <v>2028</v>
      </c>
      <c r="W23" s="413">
        <f t="shared" si="1"/>
        <v>2029</v>
      </c>
      <c r="X23" s="413">
        <f t="shared" si="1"/>
        <v>2030</v>
      </c>
      <c r="Y23" s="413">
        <f t="shared" si="1"/>
        <v>2031</v>
      </c>
      <c r="Z23" s="413">
        <f t="shared" si="1"/>
        <v>2032</v>
      </c>
      <c r="AA23" s="413">
        <f t="shared" si="1"/>
        <v>2033</v>
      </c>
      <c r="AB23" s="413">
        <f t="shared" si="1"/>
        <v>2034</v>
      </c>
      <c r="AC23" s="413">
        <f t="shared" si="1"/>
        <v>2035</v>
      </c>
      <c r="AD23" s="413">
        <f t="shared" si="1"/>
        <v>2036</v>
      </c>
      <c r="AE23" s="413">
        <f t="shared" si="1"/>
        <v>2037</v>
      </c>
      <c r="AF23" s="413">
        <f t="shared" ref="AF23:AG23" si="2">AE23+1</f>
        <v>2038</v>
      </c>
      <c r="AG23" s="413">
        <f t="shared" si="2"/>
        <v>2039</v>
      </c>
      <c r="AH23" s="413">
        <f t="shared" ref="AH23:AL23" si="3">AG23+1</f>
        <v>2040</v>
      </c>
      <c r="AI23" s="413">
        <f t="shared" si="3"/>
        <v>2041</v>
      </c>
      <c r="AJ23" s="413">
        <f t="shared" si="3"/>
        <v>2042</v>
      </c>
      <c r="AK23" s="413">
        <f t="shared" si="3"/>
        <v>2043</v>
      </c>
      <c r="AL23" s="414">
        <f t="shared" si="3"/>
        <v>2044</v>
      </c>
    </row>
    <row r="24" spans="1:38" s="415" customFormat="1" ht="38.25" customHeight="1">
      <c r="A24" s="416"/>
      <c r="B24" s="417" t="s">
        <v>6</v>
      </c>
      <c r="C24" s="418" t="s">
        <v>17</v>
      </c>
      <c r="D24" s="419" t="s">
        <v>6</v>
      </c>
      <c r="E24" s="420" t="s">
        <v>63</v>
      </c>
      <c r="F24" s="421" t="s">
        <v>22</v>
      </c>
      <c r="G24" s="422" t="s">
        <v>348</v>
      </c>
      <c r="H24" s="423" t="s">
        <v>21</v>
      </c>
      <c r="I24" s="314">
        <v>1</v>
      </c>
      <c r="J24" s="331">
        <f>I24+1</f>
        <v>2</v>
      </c>
      <c r="K24" s="331">
        <f t="shared" ref="K24:AE24" si="4">J24+1</f>
        <v>3</v>
      </c>
      <c r="L24" s="331">
        <f t="shared" si="4"/>
        <v>4</v>
      </c>
      <c r="M24" s="331">
        <f t="shared" si="4"/>
        <v>5</v>
      </c>
      <c r="N24" s="331">
        <f t="shared" si="4"/>
        <v>6</v>
      </c>
      <c r="O24" s="331">
        <f t="shared" si="4"/>
        <v>7</v>
      </c>
      <c r="P24" s="331">
        <f t="shared" si="4"/>
        <v>8</v>
      </c>
      <c r="Q24" s="331">
        <f t="shared" si="4"/>
        <v>9</v>
      </c>
      <c r="R24" s="331">
        <f t="shared" si="4"/>
        <v>10</v>
      </c>
      <c r="S24" s="331">
        <f t="shared" si="4"/>
        <v>11</v>
      </c>
      <c r="T24" s="331">
        <f t="shared" si="4"/>
        <v>12</v>
      </c>
      <c r="U24" s="331">
        <f t="shared" si="4"/>
        <v>13</v>
      </c>
      <c r="V24" s="331">
        <f t="shared" si="4"/>
        <v>14</v>
      </c>
      <c r="W24" s="331">
        <f t="shared" si="4"/>
        <v>15</v>
      </c>
      <c r="X24" s="331">
        <f t="shared" si="4"/>
        <v>16</v>
      </c>
      <c r="Y24" s="331">
        <f t="shared" si="4"/>
        <v>17</v>
      </c>
      <c r="Z24" s="331">
        <f t="shared" si="4"/>
        <v>18</v>
      </c>
      <c r="AA24" s="331">
        <f t="shared" si="4"/>
        <v>19</v>
      </c>
      <c r="AB24" s="331">
        <f t="shared" si="4"/>
        <v>20</v>
      </c>
      <c r="AC24" s="331">
        <f t="shared" si="4"/>
        <v>21</v>
      </c>
      <c r="AD24" s="331">
        <f t="shared" si="4"/>
        <v>22</v>
      </c>
      <c r="AE24" s="331">
        <f t="shared" si="4"/>
        <v>23</v>
      </c>
      <c r="AF24" s="331">
        <f t="shared" ref="AF24:AG24" si="5">AE24+1</f>
        <v>24</v>
      </c>
      <c r="AG24" s="331">
        <f t="shared" si="5"/>
        <v>25</v>
      </c>
      <c r="AH24" s="331">
        <f t="shared" ref="AH24:AL24" si="6">AG24+1</f>
        <v>26</v>
      </c>
      <c r="AI24" s="331">
        <f t="shared" si="6"/>
        <v>27</v>
      </c>
      <c r="AJ24" s="331">
        <f t="shared" si="6"/>
        <v>28</v>
      </c>
      <c r="AK24" s="331">
        <f t="shared" si="6"/>
        <v>29</v>
      </c>
      <c r="AL24" s="424">
        <f t="shared" si="6"/>
        <v>30</v>
      </c>
    </row>
    <row r="25" spans="1:38" s="415" customFormat="1" ht="15.75" customHeight="1">
      <c r="A25" s="425" t="s">
        <v>117</v>
      </c>
      <c r="B25" s="426"/>
      <c r="C25" s="427"/>
      <c r="D25" s="428"/>
      <c r="E25" s="429"/>
      <c r="F25" s="430"/>
      <c r="G25" s="431"/>
      <c r="H25" s="432">
        <f>ROUND('Investment budget'!N40,3)</f>
        <v>19.335999999999999</v>
      </c>
      <c r="I25" s="306"/>
      <c r="J25" s="329"/>
      <c r="K25" s="329"/>
      <c r="L25" s="329"/>
      <c r="M25" s="329"/>
      <c r="N25" s="329"/>
      <c r="O25" s="329"/>
      <c r="P25" s="329"/>
      <c r="Q25" s="329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  <c r="AG25" s="329"/>
      <c r="AH25" s="329"/>
      <c r="AI25" s="329"/>
      <c r="AJ25" s="329"/>
      <c r="AK25" s="329"/>
      <c r="AL25" s="433"/>
    </row>
    <row r="26" spans="1:38">
      <c r="A26" s="434" t="s">
        <v>1</v>
      </c>
      <c r="B26" s="435">
        <f t="shared" ref="B26:B32" si="7">B10</f>
        <v>0.35</v>
      </c>
      <c r="C26" s="436">
        <f>B26*B$2</f>
        <v>6.7675999999999989</v>
      </c>
      <c r="D26" s="437">
        <f t="shared" ref="D26:D32" si="8">C26/$C$35</f>
        <v>0.32111165861269947</v>
      </c>
      <c r="E26" s="438"/>
      <c r="F26" s="439"/>
      <c r="G26" s="440"/>
      <c r="H26" s="441">
        <f>SUM(I26:AG26)</f>
        <v>6.7675999999999989</v>
      </c>
      <c r="I26" s="442">
        <f>C26</f>
        <v>6.7675999999999989</v>
      </c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307"/>
    </row>
    <row r="27" spans="1:38">
      <c r="A27" s="434" t="str">
        <f t="shared" ref="A27:A32" si="9">A11</f>
        <v>Standard Chartered Bank</v>
      </c>
      <c r="B27" s="435">
        <f t="shared" si="7"/>
        <v>0.31030202730657841</v>
      </c>
      <c r="C27" s="436">
        <f t="shared" ref="C27:C32" si="10">B27*B$2</f>
        <v>6</v>
      </c>
      <c r="D27" s="437">
        <f t="shared" si="8"/>
        <v>0.28469028188371021</v>
      </c>
      <c r="E27" s="525">
        <v>15</v>
      </c>
      <c r="F27" s="526">
        <v>0.08</v>
      </c>
      <c r="G27" s="527">
        <v>3</v>
      </c>
      <c r="H27" s="441">
        <f t="shared" ref="H27:H32" si="11">ROUND(SUM(I27:AG27),3)</f>
        <v>6</v>
      </c>
      <c r="I27" s="532"/>
      <c r="J27" s="533">
        <v>3</v>
      </c>
      <c r="K27" s="533">
        <v>3</v>
      </c>
      <c r="L27" s="533"/>
      <c r="M27" s="533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3"/>
      <c r="Y27" s="533"/>
      <c r="Z27" s="533"/>
      <c r="AA27" s="533"/>
      <c r="AB27" s="533"/>
      <c r="AC27" s="533"/>
      <c r="AD27" s="533"/>
      <c r="AE27" s="533"/>
      <c r="AF27" s="533"/>
      <c r="AG27" s="533"/>
      <c r="AH27" s="533"/>
      <c r="AI27" s="533"/>
      <c r="AJ27" s="533"/>
      <c r="AK27" s="533"/>
      <c r="AL27" s="534"/>
    </row>
    <row r="28" spans="1:38">
      <c r="A28" s="434" t="str">
        <f t="shared" si="9"/>
        <v>India Eco Energy Invest</v>
      </c>
      <c r="B28" s="435">
        <f t="shared" si="7"/>
        <v>0.23272652047993381</v>
      </c>
      <c r="C28" s="436">
        <f t="shared" si="10"/>
        <v>4.5</v>
      </c>
      <c r="D28" s="437">
        <f t="shared" si="8"/>
        <v>0.21351771141278267</v>
      </c>
      <c r="E28" s="525">
        <v>20</v>
      </c>
      <c r="F28" s="526">
        <v>0.1</v>
      </c>
      <c r="G28" s="527">
        <v>3</v>
      </c>
      <c r="H28" s="441">
        <f t="shared" si="11"/>
        <v>4.5</v>
      </c>
      <c r="I28" s="532">
        <v>0.5</v>
      </c>
      <c r="J28" s="533">
        <v>3.5</v>
      </c>
      <c r="K28" s="533">
        <v>0.5</v>
      </c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533"/>
      <c r="AE28" s="533"/>
      <c r="AF28" s="533"/>
      <c r="AG28" s="533"/>
      <c r="AH28" s="533"/>
      <c r="AI28" s="533"/>
      <c r="AJ28" s="533"/>
      <c r="AK28" s="533"/>
      <c r="AL28" s="534"/>
    </row>
    <row r="29" spans="1:38">
      <c r="A29" s="434" t="str">
        <f t="shared" si="9"/>
        <v>N/A</v>
      </c>
      <c r="B29" s="435">
        <f t="shared" si="7"/>
        <v>0</v>
      </c>
      <c r="C29" s="436">
        <f t="shared" si="10"/>
        <v>0</v>
      </c>
      <c r="D29" s="437">
        <f t="shared" si="8"/>
        <v>0</v>
      </c>
      <c r="E29" s="525"/>
      <c r="F29" s="526">
        <v>0</v>
      </c>
      <c r="G29" s="527"/>
      <c r="H29" s="441">
        <f t="shared" si="11"/>
        <v>0</v>
      </c>
      <c r="I29" s="532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4"/>
    </row>
    <row r="30" spans="1:38">
      <c r="A30" s="434" t="str">
        <f t="shared" si="9"/>
        <v>N/A</v>
      </c>
      <c r="B30" s="435">
        <f t="shared" si="7"/>
        <v>0</v>
      </c>
      <c r="C30" s="436">
        <f t="shared" si="10"/>
        <v>0</v>
      </c>
      <c r="D30" s="437">
        <f t="shared" si="8"/>
        <v>0</v>
      </c>
      <c r="E30" s="525"/>
      <c r="F30" s="526">
        <v>0</v>
      </c>
      <c r="G30" s="527"/>
      <c r="H30" s="441">
        <f t="shared" si="11"/>
        <v>0</v>
      </c>
      <c r="I30" s="532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533"/>
      <c r="AE30" s="533"/>
      <c r="AF30" s="533"/>
      <c r="AG30" s="533"/>
      <c r="AH30" s="533"/>
      <c r="AI30" s="533"/>
      <c r="AJ30" s="533"/>
      <c r="AK30" s="533"/>
      <c r="AL30" s="534"/>
    </row>
    <row r="31" spans="1:38">
      <c r="A31" s="434" t="str">
        <f t="shared" si="9"/>
        <v>Supplier NN</v>
      </c>
      <c r="B31" s="435">
        <f t="shared" si="7"/>
        <v>5.1872155564749688E-2</v>
      </c>
      <c r="C31" s="436">
        <f t="shared" si="10"/>
        <v>1.0029999999999999</v>
      </c>
      <c r="D31" s="437">
        <f t="shared" si="8"/>
        <v>4.7590725454893554E-2</v>
      </c>
      <c r="E31" s="525">
        <v>5</v>
      </c>
      <c r="F31" s="526">
        <v>8.5000000000000006E-2</v>
      </c>
      <c r="G31" s="527">
        <v>2</v>
      </c>
      <c r="H31" s="441">
        <f t="shared" si="11"/>
        <v>1.0029999999999999</v>
      </c>
      <c r="I31" s="535"/>
      <c r="J31" s="353">
        <v>0.40799999999999997</v>
      </c>
      <c r="K31" s="353">
        <v>0.59499999999999997</v>
      </c>
      <c r="L31" s="353"/>
      <c r="M31" s="353"/>
      <c r="N31" s="533"/>
      <c r="O31" s="533"/>
      <c r="P31" s="533"/>
      <c r="Q31" s="533"/>
      <c r="R31" s="533"/>
      <c r="S31" s="533"/>
      <c r="T31" s="533"/>
      <c r="U31" s="533"/>
      <c r="V31" s="533"/>
      <c r="W31" s="533"/>
      <c r="X31" s="533"/>
      <c r="Y31" s="533"/>
      <c r="Z31" s="533"/>
      <c r="AA31" s="533"/>
      <c r="AB31" s="533"/>
      <c r="AC31" s="533"/>
      <c r="AD31" s="533"/>
      <c r="AE31" s="533"/>
      <c r="AF31" s="533"/>
      <c r="AG31" s="533"/>
      <c r="AH31" s="533"/>
      <c r="AI31" s="533"/>
      <c r="AJ31" s="533"/>
      <c r="AK31" s="533"/>
      <c r="AL31" s="534"/>
    </row>
    <row r="32" spans="1:38">
      <c r="A32" s="443" t="str">
        <f t="shared" si="9"/>
        <v>Mezzanine loan</v>
      </c>
      <c r="B32" s="444">
        <f t="shared" si="7"/>
        <v>5.5078609846917669E-2</v>
      </c>
      <c r="C32" s="445">
        <f t="shared" si="10"/>
        <v>1.0649999999999999</v>
      </c>
      <c r="D32" s="446">
        <f t="shared" si="8"/>
        <v>5.0532525034358559E-2</v>
      </c>
      <c r="E32" s="528">
        <v>8</v>
      </c>
      <c r="F32" s="529">
        <v>0.08</v>
      </c>
      <c r="G32" s="530">
        <v>1</v>
      </c>
      <c r="H32" s="441">
        <f t="shared" si="11"/>
        <v>1.0649999999999999</v>
      </c>
      <c r="I32" s="536"/>
      <c r="J32" s="354">
        <v>0.5</v>
      </c>
      <c r="K32" s="354">
        <v>0.56499999999999995</v>
      </c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4"/>
      <c r="AG32" s="354"/>
      <c r="AH32" s="354"/>
      <c r="AI32" s="354"/>
      <c r="AJ32" s="354"/>
      <c r="AK32" s="354"/>
      <c r="AL32" s="524"/>
    </row>
    <row r="33" spans="1:38">
      <c r="A33" s="447" t="s">
        <v>28</v>
      </c>
      <c r="B33" s="448"/>
      <c r="C33" s="449"/>
      <c r="D33" s="450"/>
      <c r="E33" s="451"/>
      <c r="F33" s="452">
        <f>SUM(H26:H32)</f>
        <v>19.335599999999999</v>
      </c>
      <c r="G33" s="453"/>
      <c r="H33" s="454">
        <f>ROUND(SUM(I33:AG33),3)</f>
        <v>19.335999999999999</v>
      </c>
      <c r="I33" s="455">
        <f>SUM(I26:I32)</f>
        <v>7.2675999999999989</v>
      </c>
      <c r="J33" s="456">
        <f t="shared" ref="J33:AL33" si="12">SUM(J26:J32)</f>
        <v>7.4080000000000004</v>
      </c>
      <c r="K33" s="456">
        <f t="shared" si="12"/>
        <v>4.66</v>
      </c>
      <c r="L33" s="456">
        <f t="shared" si="12"/>
        <v>0</v>
      </c>
      <c r="M33" s="456">
        <f t="shared" si="12"/>
        <v>0</v>
      </c>
      <c r="N33" s="456">
        <f t="shared" si="12"/>
        <v>0</v>
      </c>
      <c r="O33" s="456">
        <f t="shared" si="12"/>
        <v>0</v>
      </c>
      <c r="P33" s="456">
        <f t="shared" si="12"/>
        <v>0</v>
      </c>
      <c r="Q33" s="456">
        <f t="shared" si="12"/>
        <v>0</v>
      </c>
      <c r="R33" s="456">
        <f t="shared" si="12"/>
        <v>0</v>
      </c>
      <c r="S33" s="456">
        <f t="shared" si="12"/>
        <v>0</v>
      </c>
      <c r="T33" s="456">
        <f t="shared" si="12"/>
        <v>0</v>
      </c>
      <c r="U33" s="456">
        <f t="shared" si="12"/>
        <v>0</v>
      </c>
      <c r="V33" s="456">
        <f t="shared" si="12"/>
        <v>0</v>
      </c>
      <c r="W33" s="456">
        <f t="shared" si="12"/>
        <v>0</v>
      </c>
      <c r="X33" s="456">
        <f t="shared" si="12"/>
        <v>0</v>
      </c>
      <c r="Y33" s="456">
        <f t="shared" si="12"/>
        <v>0</v>
      </c>
      <c r="Z33" s="456">
        <f t="shared" si="12"/>
        <v>0</v>
      </c>
      <c r="AA33" s="456">
        <f t="shared" si="12"/>
        <v>0</v>
      </c>
      <c r="AB33" s="456">
        <f t="shared" si="12"/>
        <v>0</v>
      </c>
      <c r="AC33" s="456">
        <f t="shared" si="12"/>
        <v>0</v>
      </c>
      <c r="AD33" s="456">
        <f t="shared" si="12"/>
        <v>0</v>
      </c>
      <c r="AE33" s="456">
        <f t="shared" si="12"/>
        <v>0</v>
      </c>
      <c r="AF33" s="456">
        <f t="shared" si="12"/>
        <v>0</v>
      </c>
      <c r="AG33" s="456">
        <f t="shared" si="12"/>
        <v>0</v>
      </c>
      <c r="AH33" s="456">
        <f t="shared" si="12"/>
        <v>0</v>
      </c>
      <c r="AI33" s="456">
        <f t="shared" si="12"/>
        <v>0</v>
      </c>
      <c r="AJ33" s="456">
        <f t="shared" si="12"/>
        <v>0</v>
      </c>
      <c r="AK33" s="456">
        <f t="shared" si="12"/>
        <v>0</v>
      </c>
      <c r="AL33" s="456">
        <f t="shared" si="12"/>
        <v>0</v>
      </c>
    </row>
    <row r="34" spans="1:38">
      <c r="A34" s="434" t="s">
        <v>18</v>
      </c>
      <c r="B34" s="435">
        <f>B19</f>
        <v>8.9984226313611942E-2</v>
      </c>
      <c r="C34" s="436">
        <f>B34*B$2</f>
        <v>1.7399350000000005</v>
      </c>
      <c r="D34" s="437">
        <f>C34/$C$35</f>
        <v>8.2557097601555579E-2</v>
      </c>
      <c r="E34" s="525">
        <v>2</v>
      </c>
      <c r="F34" s="526">
        <v>0.1</v>
      </c>
      <c r="G34" s="531">
        <v>3</v>
      </c>
      <c r="H34" s="441">
        <f>SUM(I34:AG34)</f>
        <v>1.7399350000000005</v>
      </c>
      <c r="I34" s="306">
        <f>IF(SUM(I27:I31)=0,0,I27*$F27+I28*$F28+I30*$F30+I31*$F31+$I32*F32)</f>
        <v>0.05</v>
      </c>
      <c r="J34" s="457">
        <f>IF(SUM(J27:J31)=0,0,J27*$F27+J28*$F28+J30*$F30+J31*$F31+$I32*H32+I34)</f>
        <v>0.67468000000000017</v>
      </c>
      <c r="K34" s="457">
        <f>IF(SUM(K27:K31)=0,0,K27*$F27+K28*$F28+K30*$F30+K31*$F31+$I32*I32+J34)</f>
        <v>1.0152550000000002</v>
      </c>
      <c r="L34" s="457">
        <f>IF(SUM(L27:L31)=0,0,L27*$F27+L28*$F28+L30*$F30+L31*$F31+$I32*J32+K34)</f>
        <v>0</v>
      </c>
      <c r="M34" s="457">
        <f t="shared" ref="M34" si="13">IF(SUM(M27:M31)=0,0,M27*$F27+M28*$F28+M30*$F30+M31*$F31+$I32*K32+L34)</f>
        <v>0</v>
      </c>
      <c r="N34" s="457">
        <f t="shared" ref="N34" si="14">IF(SUM(N27:N31)=0,0,N27*$F27+N28*$F28+N30*$F30+N31*$F31+$I32*L32+M34)</f>
        <v>0</v>
      </c>
      <c r="O34" s="457">
        <f t="shared" ref="O34" si="15">IF(SUM(O27:O31)=0,0,O27*$F27+O28*$F28+O30*$F30+O31*$F31+$I32*M32+N34)</f>
        <v>0</v>
      </c>
      <c r="P34" s="457">
        <f t="shared" ref="P34" si="16">IF(SUM(P27:P31)=0,0,P27*$F27+P28*$F28+P30*$F30+P31*$F31+$I32*N32+O34)</f>
        <v>0</v>
      </c>
      <c r="Q34" s="457">
        <f t="shared" ref="Q34" si="17">IF(SUM(Q27:Q31)=0,0,Q27*$F27+Q28*$F28+Q30*$F30+Q31*$F31+$I32*O32+P34)</f>
        <v>0</v>
      </c>
      <c r="R34" s="457">
        <f t="shared" ref="R34" si="18">IF(SUM(R27:R31)=0,0,R27*$F27+R28*$F28+R30*$F30+R31*$F31+$I32*P32+Q34)</f>
        <v>0</v>
      </c>
      <c r="S34" s="457">
        <f t="shared" ref="S34" si="19">IF(SUM(S27:S31)=0,0,S27*$F27+S28*$F28+S30*$F30+S31*$F31+$I32*Q32+R34)</f>
        <v>0</v>
      </c>
      <c r="T34" s="457">
        <f t="shared" ref="T34" si="20">IF(SUM(T27:T31)=0,0,T27*$F27+T28*$F28+T30*$F30+T31*$F31+$I32*R32+S34)</f>
        <v>0</v>
      </c>
      <c r="U34" s="457">
        <f t="shared" ref="U34" si="21">IF(SUM(U27:U31)=0,0,U27*$F27+U28*$F28+U30*$F30+U31*$F31+$I32*S32+T34)</f>
        <v>0</v>
      </c>
      <c r="V34" s="457">
        <f t="shared" ref="V34" si="22">IF(SUM(V27:V31)=0,0,V27*$F27+V28*$F28+V30*$F30+V31*$F31+$I32*T32+U34)</f>
        <v>0</v>
      </c>
      <c r="W34" s="457">
        <f t="shared" ref="W34" si="23">IF(SUM(W27:W31)=0,0,W27*$F27+W28*$F28+W30*$F30+W31*$F31+$I32*U32+V34)</f>
        <v>0</v>
      </c>
      <c r="X34" s="457">
        <f t="shared" ref="X34" si="24">IF(SUM(X27:X31)=0,0,X27*$F27+X28*$F28+X30*$F30+X31*$F31+$I32*V32+W34)</f>
        <v>0</v>
      </c>
      <c r="Y34" s="457">
        <f t="shared" ref="Y34" si="25">IF(SUM(Y27:Y31)=0,0,Y27*$F27+Y28*$F28+Y30*$F30+Y31*$F31+$I32*W32+X34)</f>
        <v>0</v>
      </c>
      <c r="Z34" s="457">
        <f t="shared" ref="Z34" si="26">IF(SUM(Z27:Z31)=0,0,Z27*$F27+Z28*$F28+Z30*$F30+Z31*$F31+$I32*X32+Y34)</f>
        <v>0</v>
      </c>
      <c r="AA34" s="457">
        <f t="shared" ref="AA34" si="27">IF(SUM(AA27:AA31)=0,0,AA27*$F27+AA28*$F28+AA30*$F30+AA31*$F31+$I32*Y32+Z34)</f>
        <v>0</v>
      </c>
      <c r="AB34" s="457">
        <f t="shared" ref="AB34" si="28">IF(SUM(AB27:AB31)=0,0,AB27*$F27+AB28*$F28+AB30*$F30+AB31*$F31+$I32*Z32+AA34)</f>
        <v>0</v>
      </c>
      <c r="AC34" s="457">
        <f t="shared" ref="AC34" si="29">IF(SUM(AC27:AC31)=0,0,AC27*$F27+AC28*$F28+AC30*$F30+AC31*$F31+$I32*AA32+AB34)</f>
        <v>0</v>
      </c>
      <c r="AD34" s="457">
        <f t="shared" ref="AD34" si="30">IF(SUM(AD27:AD31)=0,0,AD27*$F27+AD28*$F28+AD30*$F30+AD31*$F31+$I32*AB32+AC34)</f>
        <v>0</v>
      </c>
      <c r="AE34" s="457">
        <f t="shared" ref="AE34" si="31">IF(SUM(AE27:AE31)=0,0,AE27*$F27+AE28*$F28+AE30*$F30+AE31*$F31+$I32*AC32+AD34)</f>
        <v>0</v>
      </c>
      <c r="AF34" s="457">
        <f t="shared" ref="AF34" si="32">IF(SUM(AF27:AF31)=0,0,AF27*$F27+AF28*$F28+AF30*$F30+AF31*$F31+$I32*AD32+AE34)</f>
        <v>0</v>
      </c>
      <c r="AG34" s="457">
        <f t="shared" ref="AG34" si="33">IF(SUM(AG27:AG31)=0,0,AG27*$F27+AG28*$F28+AG30*$F30+AG31*$F31+$I32*AE32+AF34)</f>
        <v>0</v>
      </c>
      <c r="AH34" s="457">
        <f t="shared" ref="AH34" si="34">IF(SUM(AH27:AH31)=0,0,AH27*$F27+AH28*$F28+AH30*$F30+AH31*$F31+$I32*AF32+AG34)</f>
        <v>0</v>
      </c>
      <c r="AI34" s="457">
        <f t="shared" ref="AI34" si="35">IF(SUM(AI27:AI31)=0,0,AI27*$F27+AI28*$F28+AI30*$F30+AI31*$F31+$I32*AG32+AH34)</f>
        <v>0</v>
      </c>
      <c r="AJ34" s="457">
        <f t="shared" ref="AJ34" si="36">IF(SUM(AJ27:AJ31)=0,0,AJ27*$F27+AJ28*$F28+AJ30*$F30+AJ31*$F31+$I32*AH32+AI34)</f>
        <v>0</v>
      </c>
      <c r="AK34" s="457">
        <f t="shared" ref="AK34" si="37">IF(SUM(AK27:AK31)=0,0,AK27*$F27+AK28*$F28+AK30*$F30+AK31*$F31+$I32*AI32+AJ34)</f>
        <v>0</v>
      </c>
      <c r="AL34" s="457">
        <f t="shared" ref="AL34" si="38">IF(SUM(AL27:AL31)=0,0,AL27*$F27+AL28*$F28+AL30*$F30+AL31*$F31+$I32*AJ32+AK34)</f>
        <v>0</v>
      </c>
    </row>
    <row r="35" spans="1:38" ht="14.7" thickBot="1">
      <c r="A35" s="458" t="s">
        <v>4</v>
      </c>
      <c r="B35" s="459">
        <f>SUM(B26:B34)</f>
        <v>1.0899635395117915</v>
      </c>
      <c r="C35" s="460">
        <f>SUM(C26:C34)</f>
        <v>21.075534999999999</v>
      </c>
      <c r="D35" s="461">
        <f>SUM(D26:D34)</f>
        <v>1</v>
      </c>
      <c r="E35" s="462"/>
      <c r="F35" s="463"/>
      <c r="G35" s="464"/>
      <c r="H35" s="465">
        <f>SUM(I35:AL35)</f>
        <v>21.075534999999999</v>
      </c>
      <c r="I35" s="466">
        <f>SUM(I33:I34)</f>
        <v>7.3175999999999988</v>
      </c>
      <c r="J35" s="467">
        <f>SUM(J33:J34)</f>
        <v>8.0826799999999999</v>
      </c>
      <c r="K35" s="467">
        <f t="shared" ref="K35:AL35" si="39">SUM(K33:K34)</f>
        <v>5.6752549999999999</v>
      </c>
      <c r="L35" s="467">
        <f t="shared" si="39"/>
        <v>0</v>
      </c>
      <c r="M35" s="467">
        <f t="shared" si="39"/>
        <v>0</v>
      </c>
      <c r="N35" s="467">
        <f t="shared" si="39"/>
        <v>0</v>
      </c>
      <c r="O35" s="467">
        <f t="shared" si="39"/>
        <v>0</v>
      </c>
      <c r="P35" s="467">
        <f t="shared" si="39"/>
        <v>0</v>
      </c>
      <c r="Q35" s="467">
        <f t="shared" si="39"/>
        <v>0</v>
      </c>
      <c r="R35" s="467">
        <f t="shared" si="39"/>
        <v>0</v>
      </c>
      <c r="S35" s="467">
        <f t="shared" si="39"/>
        <v>0</v>
      </c>
      <c r="T35" s="467">
        <f t="shared" si="39"/>
        <v>0</v>
      </c>
      <c r="U35" s="467">
        <f t="shared" si="39"/>
        <v>0</v>
      </c>
      <c r="V35" s="467">
        <f t="shared" si="39"/>
        <v>0</v>
      </c>
      <c r="W35" s="467">
        <f t="shared" si="39"/>
        <v>0</v>
      </c>
      <c r="X35" s="467">
        <f t="shared" si="39"/>
        <v>0</v>
      </c>
      <c r="Y35" s="467">
        <f t="shared" si="39"/>
        <v>0</v>
      </c>
      <c r="Z35" s="467">
        <f t="shared" si="39"/>
        <v>0</v>
      </c>
      <c r="AA35" s="467">
        <f t="shared" si="39"/>
        <v>0</v>
      </c>
      <c r="AB35" s="467">
        <f t="shared" si="39"/>
        <v>0</v>
      </c>
      <c r="AC35" s="467">
        <f t="shared" si="39"/>
        <v>0</v>
      </c>
      <c r="AD35" s="467">
        <f t="shared" si="39"/>
        <v>0</v>
      </c>
      <c r="AE35" s="467">
        <f t="shared" si="39"/>
        <v>0</v>
      </c>
      <c r="AF35" s="467">
        <f t="shared" si="39"/>
        <v>0</v>
      </c>
      <c r="AG35" s="467">
        <f t="shared" si="39"/>
        <v>0</v>
      </c>
      <c r="AH35" s="467">
        <f t="shared" si="39"/>
        <v>0</v>
      </c>
      <c r="AI35" s="467">
        <f t="shared" si="39"/>
        <v>0</v>
      </c>
      <c r="AJ35" s="467">
        <f t="shared" si="39"/>
        <v>0</v>
      </c>
      <c r="AK35" s="467">
        <f t="shared" si="39"/>
        <v>0</v>
      </c>
      <c r="AL35" s="467">
        <f t="shared" si="39"/>
        <v>0</v>
      </c>
    </row>
    <row r="36" spans="1:38" ht="14.7" thickTop="1">
      <c r="A36" s="361"/>
      <c r="B36" s="361"/>
      <c r="C36" s="468"/>
      <c r="D36" s="469"/>
      <c r="E36" s="406"/>
      <c r="F36" s="406"/>
      <c r="G36" s="406"/>
      <c r="H36" s="360"/>
      <c r="I36" s="470"/>
      <c r="J36" s="361"/>
      <c r="K36" s="361"/>
      <c r="L36" s="361"/>
      <c r="M36" s="361"/>
    </row>
    <row r="37" spans="1:38">
      <c r="A37" s="300" t="s">
        <v>10</v>
      </c>
      <c r="B37" s="471"/>
      <c r="C37" s="472"/>
      <c r="D37" s="472"/>
      <c r="E37" s="472"/>
      <c r="F37" s="472"/>
      <c r="G37" s="472"/>
      <c r="H37" s="473" t="s">
        <v>4</v>
      </c>
      <c r="I37" s="301">
        <f>I23</f>
        <v>2015</v>
      </c>
      <c r="J37" s="301">
        <f t="shared" ref="J37:AL37" si="40">J23</f>
        <v>2016</v>
      </c>
      <c r="K37" s="301">
        <f t="shared" si="40"/>
        <v>2017</v>
      </c>
      <c r="L37" s="301">
        <f t="shared" si="40"/>
        <v>2018</v>
      </c>
      <c r="M37" s="301">
        <f t="shared" si="40"/>
        <v>2019</v>
      </c>
      <c r="N37" s="301">
        <f t="shared" si="40"/>
        <v>2020</v>
      </c>
      <c r="O37" s="301">
        <f t="shared" si="40"/>
        <v>2021</v>
      </c>
      <c r="P37" s="301">
        <f t="shared" si="40"/>
        <v>2022</v>
      </c>
      <c r="Q37" s="301">
        <f t="shared" si="40"/>
        <v>2023</v>
      </c>
      <c r="R37" s="301">
        <f t="shared" si="40"/>
        <v>2024</v>
      </c>
      <c r="S37" s="301">
        <f t="shared" si="40"/>
        <v>2025</v>
      </c>
      <c r="T37" s="301">
        <f t="shared" si="40"/>
        <v>2026</v>
      </c>
      <c r="U37" s="301">
        <f t="shared" si="40"/>
        <v>2027</v>
      </c>
      <c r="V37" s="301">
        <f t="shared" si="40"/>
        <v>2028</v>
      </c>
      <c r="W37" s="301">
        <f t="shared" si="40"/>
        <v>2029</v>
      </c>
      <c r="X37" s="301">
        <f t="shared" si="40"/>
        <v>2030</v>
      </c>
      <c r="Y37" s="301">
        <f t="shared" si="40"/>
        <v>2031</v>
      </c>
      <c r="Z37" s="301">
        <f t="shared" si="40"/>
        <v>2032</v>
      </c>
      <c r="AA37" s="301">
        <f t="shared" si="40"/>
        <v>2033</v>
      </c>
      <c r="AB37" s="301">
        <f t="shared" si="40"/>
        <v>2034</v>
      </c>
      <c r="AC37" s="301">
        <f t="shared" si="40"/>
        <v>2035</v>
      </c>
      <c r="AD37" s="301">
        <f t="shared" si="40"/>
        <v>2036</v>
      </c>
      <c r="AE37" s="301">
        <f t="shared" si="40"/>
        <v>2037</v>
      </c>
      <c r="AF37" s="301">
        <f t="shared" si="40"/>
        <v>2038</v>
      </c>
      <c r="AG37" s="301">
        <f t="shared" si="40"/>
        <v>2039</v>
      </c>
      <c r="AH37" s="301">
        <f t="shared" si="40"/>
        <v>2040</v>
      </c>
      <c r="AI37" s="301">
        <f t="shared" si="40"/>
        <v>2041</v>
      </c>
      <c r="AJ37" s="301">
        <f t="shared" si="40"/>
        <v>2042</v>
      </c>
      <c r="AK37" s="301">
        <f t="shared" si="40"/>
        <v>2043</v>
      </c>
      <c r="AL37" s="311">
        <f t="shared" si="40"/>
        <v>2044</v>
      </c>
    </row>
    <row r="38" spans="1:38">
      <c r="A38" s="323" t="s">
        <v>14</v>
      </c>
      <c r="B38" s="434"/>
      <c r="C38" s="474"/>
      <c r="D38" s="474"/>
      <c r="E38" s="474"/>
      <c r="F38" s="474"/>
      <c r="G38" s="474"/>
      <c r="H38" s="475"/>
      <c r="I38" s="181">
        <f>I24</f>
        <v>1</v>
      </c>
      <c r="J38" s="181">
        <f t="shared" ref="J38:AL38" si="41">J24</f>
        <v>2</v>
      </c>
      <c r="K38" s="181">
        <f t="shared" si="41"/>
        <v>3</v>
      </c>
      <c r="L38" s="181">
        <f t="shared" si="41"/>
        <v>4</v>
      </c>
      <c r="M38" s="181">
        <f t="shared" si="41"/>
        <v>5</v>
      </c>
      <c r="N38" s="181">
        <f t="shared" si="41"/>
        <v>6</v>
      </c>
      <c r="O38" s="181">
        <f t="shared" si="41"/>
        <v>7</v>
      </c>
      <c r="P38" s="181">
        <f t="shared" si="41"/>
        <v>8</v>
      </c>
      <c r="Q38" s="181">
        <f t="shared" si="41"/>
        <v>9</v>
      </c>
      <c r="R38" s="181">
        <f t="shared" si="41"/>
        <v>10</v>
      </c>
      <c r="S38" s="181">
        <f t="shared" si="41"/>
        <v>11</v>
      </c>
      <c r="T38" s="181">
        <f t="shared" si="41"/>
        <v>12</v>
      </c>
      <c r="U38" s="181">
        <f t="shared" si="41"/>
        <v>13</v>
      </c>
      <c r="V38" s="181">
        <f t="shared" si="41"/>
        <v>14</v>
      </c>
      <c r="W38" s="181">
        <f t="shared" si="41"/>
        <v>15</v>
      </c>
      <c r="X38" s="181">
        <f t="shared" si="41"/>
        <v>16</v>
      </c>
      <c r="Y38" s="181">
        <f t="shared" si="41"/>
        <v>17</v>
      </c>
      <c r="Z38" s="181">
        <f t="shared" si="41"/>
        <v>18</v>
      </c>
      <c r="AA38" s="181">
        <f t="shared" si="41"/>
        <v>19</v>
      </c>
      <c r="AB38" s="181">
        <f t="shared" si="41"/>
        <v>20</v>
      </c>
      <c r="AC38" s="181">
        <f t="shared" si="41"/>
        <v>21</v>
      </c>
      <c r="AD38" s="181">
        <f t="shared" si="41"/>
        <v>22</v>
      </c>
      <c r="AE38" s="181">
        <f t="shared" si="41"/>
        <v>23</v>
      </c>
      <c r="AF38" s="181">
        <f t="shared" si="41"/>
        <v>24</v>
      </c>
      <c r="AG38" s="181">
        <f t="shared" si="41"/>
        <v>25</v>
      </c>
      <c r="AH38" s="181">
        <f t="shared" si="41"/>
        <v>26</v>
      </c>
      <c r="AI38" s="181">
        <f t="shared" si="41"/>
        <v>27</v>
      </c>
      <c r="AJ38" s="181">
        <f t="shared" si="41"/>
        <v>28</v>
      </c>
      <c r="AK38" s="181">
        <f t="shared" si="41"/>
        <v>29</v>
      </c>
      <c r="AL38" s="307">
        <f t="shared" si="41"/>
        <v>30</v>
      </c>
    </row>
    <row r="39" spans="1:38">
      <c r="A39" s="306" t="s">
        <v>60</v>
      </c>
      <c r="B39" s="476" t="s">
        <v>21</v>
      </c>
      <c r="C39" s="474"/>
      <c r="D39" s="474"/>
      <c r="E39" s="474"/>
      <c r="F39" s="474"/>
      <c r="G39" s="474"/>
      <c r="H39" s="477">
        <f>SUM(I39:AL39)</f>
        <v>6.7675999999999989</v>
      </c>
      <c r="I39" s="478">
        <f>IF(I26=0, " ", I26)</f>
        <v>6.7675999999999989</v>
      </c>
      <c r="J39" s="478" t="str">
        <f t="shared" ref="J39:AL39" si="42">IF(J26=0, " ", J26)</f>
        <v xml:space="preserve"> </v>
      </c>
      <c r="K39" s="478" t="str">
        <f t="shared" si="42"/>
        <v xml:space="preserve"> </v>
      </c>
      <c r="L39" s="478" t="str">
        <f t="shared" si="42"/>
        <v xml:space="preserve"> </v>
      </c>
      <c r="M39" s="478" t="str">
        <f t="shared" si="42"/>
        <v xml:space="preserve"> </v>
      </c>
      <c r="N39" s="478" t="str">
        <f t="shared" si="42"/>
        <v xml:space="preserve"> </v>
      </c>
      <c r="O39" s="478" t="str">
        <f t="shared" si="42"/>
        <v xml:space="preserve"> </v>
      </c>
      <c r="P39" s="478" t="str">
        <f t="shared" si="42"/>
        <v xml:space="preserve"> </v>
      </c>
      <c r="Q39" s="478" t="str">
        <f t="shared" si="42"/>
        <v xml:space="preserve"> </v>
      </c>
      <c r="R39" s="478" t="str">
        <f t="shared" si="42"/>
        <v xml:space="preserve"> </v>
      </c>
      <c r="S39" s="478" t="str">
        <f t="shared" si="42"/>
        <v xml:space="preserve"> </v>
      </c>
      <c r="T39" s="478" t="str">
        <f t="shared" si="42"/>
        <v xml:space="preserve"> </v>
      </c>
      <c r="U39" s="478" t="str">
        <f t="shared" si="42"/>
        <v xml:space="preserve"> </v>
      </c>
      <c r="V39" s="478" t="str">
        <f t="shared" si="42"/>
        <v xml:space="preserve"> </v>
      </c>
      <c r="W39" s="478" t="str">
        <f t="shared" si="42"/>
        <v xml:space="preserve"> </v>
      </c>
      <c r="X39" s="478" t="str">
        <f t="shared" si="42"/>
        <v xml:space="preserve"> </v>
      </c>
      <c r="Y39" s="478" t="str">
        <f t="shared" si="42"/>
        <v xml:space="preserve"> </v>
      </c>
      <c r="Z39" s="478" t="str">
        <f t="shared" si="42"/>
        <v xml:space="preserve"> </v>
      </c>
      <c r="AA39" s="478" t="str">
        <f t="shared" si="42"/>
        <v xml:space="preserve"> </v>
      </c>
      <c r="AB39" s="478" t="str">
        <f t="shared" si="42"/>
        <v xml:space="preserve"> </v>
      </c>
      <c r="AC39" s="478" t="str">
        <f t="shared" si="42"/>
        <v xml:space="preserve"> </v>
      </c>
      <c r="AD39" s="478" t="str">
        <f t="shared" si="42"/>
        <v xml:space="preserve"> </v>
      </c>
      <c r="AE39" s="478" t="str">
        <f t="shared" si="42"/>
        <v xml:space="preserve"> </v>
      </c>
      <c r="AF39" s="478" t="str">
        <f t="shared" si="42"/>
        <v xml:space="preserve"> </v>
      </c>
      <c r="AG39" s="478" t="str">
        <f t="shared" si="42"/>
        <v xml:space="preserve"> </v>
      </c>
      <c r="AH39" s="478" t="str">
        <f t="shared" si="42"/>
        <v xml:space="preserve"> </v>
      </c>
      <c r="AI39" s="478" t="str">
        <f t="shared" si="42"/>
        <v xml:space="preserve"> </v>
      </c>
      <c r="AJ39" s="478" t="str">
        <f t="shared" si="42"/>
        <v xml:space="preserve"> </v>
      </c>
      <c r="AK39" s="478" t="str">
        <f t="shared" si="42"/>
        <v xml:space="preserve"> </v>
      </c>
      <c r="AL39" s="479" t="str">
        <f t="shared" si="42"/>
        <v xml:space="preserve"> </v>
      </c>
    </row>
    <row r="40" spans="1:38">
      <c r="A40" s="306" t="s">
        <v>349</v>
      </c>
      <c r="B40" s="476" t="s">
        <v>21</v>
      </c>
      <c r="C40" s="474"/>
      <c r="D40" s="474"/>
      <c r="E40" s="474"/>
      <c r="F40" s="474"/>
      <c r="G40" s="474"/>
      <c r="H40" s="477">
        <f>SUM(I40:AL40)</f>
        <v>12.568000000000001</v>
      </c>
      <c r="I40" s="480">
        <f>IF(I33-I26=0," ",I33-I26)</f>
        <v>0.5</v>
      </c>
      <c r="J40" s="480">
        <f t="shared" ref="J40:AL40" si="43">IF(J33-J26=0," ",J33-J26)</f>
        <v>7.4080000000000004</v>
      </c>
      <c r="K40" s="480">
        <f t="shared" si="43"/>
        <v>4.66</v>
      </c>
      <c r="L40" s="480" t="str">
        <f t="shared" si="43"/>
        <v xml:space="preserve"> </v>
      </c>
      <c r="M40" s="480" t="str">
        <f t="shared" si="43"/>
        <v xml:space="preserve"> </v>
      </c>
      <c r="N40" s="480" t="str">
        <f t="shared" si="43"/>
        <v xml:space="preserve"> </v>
      </c>
      <c r="O40" s="480" t="str">
        <f t="shared" si="43"/>
        <v xml:space="preserve"> </v>
      </c>
      <c r="P40" s="480" t="str">
        <f t="shared" si="43"/>
        <v xml:space="preserve"> </v>
      </c>
      <c r="Q40" s="480" t="str">
        <f t="shared" si="43"/>
        <v xml:space="preserve"> </v>
      </c>
      <c r="R40" s="480" t="str">
        <f t="shared" si="43"/>
        <v xml:space="preserve"> </v>
      </c>
      <c r="S40" s="480" t="str">
        <f t="shared" si="43"/>
        <v xml:space="preserve"> </v>
      </c>
      <c r="T40" s="480" t="str">
        <f t="shared" si="43"/>
        <v xml:space="preserve"> </v>
      </c>
      <c r="U40" s="480" t="str">
        <f t="shared" si="43"/>
        <v xml:space="preserve"> </v>
      </c>
      <c r="V40" s="480" t="str">
        <f t="shared" si="43"/>
        <v xml:space="preserve"> </v>
      </c>
      <c r="W40" s="480" t="str">
        <f t="shared" si="43"/>
        <v xml:space="preserve"> </v>
      </c>
      <c r="X40" s="480" t="str">
        <f t="shared" si="43"/>
        <v xml:space="preserve"> </v>
      </c>
      <c r="Y40" s="480" t="str">
        <f t="shared" si="43"/>
        <v xml:space="preserve"> </v>
      </c>
      <c r="Z40" s="480" t="str">
        <f t="shared" si="43"/>
        <v xml:space="preserve"> </v>
      </c>
      <c r="AA40" s="480" t="str">
        <f t="shared" si="43"/>
        <v xml:space="preserve"> </v>
      </c>
      <c r="AB40" s="480" t="str">
        <f t="shared" si="43"/>
        <v xml:space="preserve"> </v>
      </c>
      <c r="AC40" s="480" t="str">
        <f t="shared" si="43"/>
        <v xml:space="preserve"> </v>
      </c>
      <c r="AD40" s="480" t="str">
        <f t="shared" si="43"/>
        <v xml:space="preserve"> </v>
      </c>
      <c r="AE40" s="480" t="str">
        <f t="shared" si="43"/>
        <v xml:space="preserve"> </v>
      </c>
      <c r="AF40" s="480" t="str">
        <f t="shared" si="43"/>
        <v xml:space="preserve"> </v>
      </c>
      <c r="AG40" s="480" t="str">
        <f t="shared" si="43"/>
        <v xml:space="preserve"> </v>
      </c>
      <c r="AH40" s="480" t="str">
        <f t="shared" si="43"/>
        <v xml:space="preserve"> </v>
      </c>
      <c r="AI40" s="480" t="str">
        <f t="shared" si="43"/>
        <v xml:space="preserve"> </v>
      </c>
      <c r="AJ40" s="480" t="str">
        <f t="shared" si="43"/>
        <v xml:space="preserve"> </v>
      </c>
      <c r="AK40" s="480" t="str">
        <f t="shared" si="43"/>
        <v xml:space="preserve"> </v>
      </c>
      <c r="AL40" s="481" t="str">
        <f t="shared" si="43"/>
        <v xml:space="preserve"> </v>
      </c>
    </row>
    <row r="41" spans="1:38">
      <c r="A41" s="314" t="s">
        <v>18</v>
      </c>
      <c r="B41" s="482" t="s">
        <v>21</v>
      </c>
      <c r="C41" s="483"/>
      <c r="D41" s="483"/>
      <c r="E41" s="483"/>
      <c r="F41" s="483"/>
      <c r="G41" s="483"/>
      <c r="H41" s="484">
        <f t="shared" ref="H41" si="44">SUM(I41:AL41)</f>
        <v>1.7399350000000005</v>
      </c>
      <c r="I41" s="485">
        <f>IF(I34=0," ",I34)</f>
        <v>0.05</v>
      </c>
      <c r="J41" s="485">
        <f t="shared" ref="J41:AL41" si="45">IF(J34=0," ",J34)</f>
        <v>0.67468000000000017</v>
      </c>
      <c r="K41" s="485">
        <f t="shared" si="45"/>
        <v>1.0152550000000002</v>
      </c>
      <c r="L41" s="485" t="str">
        <f t="shared" si="45"/>
        <v xml:space="preserve"> </v>
      </c>
      <c r="M41" s="485" t="str">
        <f t="shared" si="45"/>
        <v xml:space="preserve"> </v>
      </c>
      <c r="N41" s="485" t="str">
        <f t="shared" si="45"/>
        <v xml:space="preserve"> </v>
      </c>
      <c r="O41" s="485" t="str">
        <f t="shared" si="45"/>
        <v xml:space="preserve"> </v>
      </c>
      <c r="P41" s="485" t="str">
        <f t="shared" si="45"/>
        <v xml:space="preserve"> </v>
      </c>
      <c r="Q41" s="485" t="str">
        <f t="shared" si="45"/>
        <v xml:space="preserve"> </v>
      </c>
      <c r="R41" s="485" t="str">
        <f t="shared" si="45"/>
        <v xml:space="preserve"> </v>
      </c>
      <c r="S41" s="485" t="str">
        <f t="shared" si="45"/>
        <v xml:space="preserve"> </v>
      </c>
      <c r="T41" s="485" t="str">
        <f t="shared" si="45"/>
        <v xml:space="preserve"> </v>
      </c>
      <c r="U41" s="485" t="str">
        <f t="shared" si="45"/>
        <v xml:space="preserve"> </v>
      </c>
      <c r="V41" s="485" t="str">
        <f t="shared" si="45"/>
        <v xml:space="preserve"> </v>
      </c>
      <c r="W41" s="485" t="str">
        <f t="shared" si="45"/>
        <v xml:space="preserve"> </v>
      </c>
      <c r="X41" s="485" t="str">
        <f t="shared" si="45"/>
        <v xml:space="preserve"> </v>
      </c>
      <c r="Y41" s="485" t="str">
        <f t="shared" si="45"/>
        <v xml:space="preserve"> </v>
      </c>
      <c r="Z41" s="485" t="str">
        <f t="shared" si="45"/>
        <v xml:space="preserve"> </v>
      </c>
      <c r="AA41" s="485" t="str">
        <f t="shared" si="45"/>
        <v xml:space="preserve"> </v>
      </c>
      <c r="AB41" s="485" t="str">
        <f t="shared" si="45"/>
        <v xml:space="preserve"> </v>
      </c>
      <c r="AC41" s="485" t="str">
        <f t="shared" si="45"/>
        <v xml:space="preserve"> </v>
      </c>
      <c r="AD41" s="485" t="str">
        <f t="shared" si="45"/>
        <v xml:space="preserve"> </v>
      </c>
      <c r="AE41" s="485" t="str">
        <f t="shared" si="45"/>
        <v xml:space="preserve"> </v>
      </c>
      <c r="AF41" s="485" t="str">
        <f t="shared" si="45"/>
        <v xml:space="preserve"> </v>
      </c>
      <c r="AG41" s="485" t="str">
        <f t="shared" si="45"/>
        <v xml:space="preserve"> </v>
      </c>
      <c r="AH41" s="485" t="str">
        <f t="shared" si="45"/>
        <v xml:space="preserve"> </v>
      </c>
      <c r="AI41" s="485" t="str">
        <f t="shared" si="45"/>
        <v xml:space="preserve"> </v>
      </c>
      <c r="AJ41" s="485" t="str">
        <f t="shared" si="45"/>
        <v xml:space="preserve"> </v>
      </c>
      <c r="AK41" s="485" t="str">
        <f t="shared" si="45"/>
        <v xml:space="preserve"> </v>
      </c>
      <c r="AL41" s="486" t="str">
        <f t="shared" si="45"/>
        <v xml:space="preserve"> </v>
      </c>
    </row>
    <row r="42" spans="1:38">
      <c r="A42" s="361"/>
      <c r="H42" s="362"/>
      <c r="I42" s="362"/>
      <c r="J42" s="362"/>
      <c r="K42" s="361"/>
      <c r="L42" s="360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</row>
    <row r="43" spans="1:38" hidden="1">
      <c r="A43" s="361" t="str">
        <f>A34</f>
        <v>Interest during construction period</v>
      </c>
      <c r="G43" s="97">
        <f>G34</f>
        <v>3</v>
      </c>
      <c r="H43" s="362"/>
      <c r="I43" s="487">
        <f>IF($B$1+$G$43=I$23,1,0)</f>
        <v>0</v>
      </c>
      <c r="J43" s="487">
        <f t="shared" ref="J43:AL43" si="46">IF($B$1+$G$43=J$23,1,0)</f>
        <v>0</v>
      </c>
      <c r="K43" s="487">
        <f t="shared" si="46"/>
        <v>0</v>
      </c>
      <c r="L43" s="487">
        <f t="shared" si="46"/>
        <v>1</v>
      </c>
      <c r="M43" s="487">
        <f t="shared" si="46"/>
        <v>0</v>
      </c>
      <c r="N43" s="487">
        <f t="shared" si="46"/>
        <v>0</v>
      </c>
      <c r="O43" s="487">
        <f t="shared" si="46"/>
        <v>0</v>
      </c>
      <c r="P43" s="487">
        <f t="shared" si="46"/>
        <v>0</v>
      </c>
      <c r="Q43" s="487">
        <f t="shared" si="46"/>
        <v>0</v>
      </c>
      <c r="R43" s="487">
        <f t="shared" si="46"/>
        <v>0</v>
      </c>
      <c r="S43" s="487">
        <f t="shared" si="46"/>
        <v>0</v>
      </c>
      <c r="T43" s="487">
        <f t="shared" si="46"/>
        <v>0</v>
      </c>
      <c r="U43" s="487">
        <f t="shared" si="46"/>
        <v>0</v>
      </c>
      <c r="V43" s="487">
        <f t="shared" si="46"/>
        <v>0</v>
      </c>
      <c r="W43" s="487">
        <f t="shared" si="46"/>
        <v>0</v>
      </c>
      <c r="X43" s="487">
        <f t="shared" si="46"/>
        <v>0</v>
      </c>
      <c r="Y43" s="487">
        <f t="shared" si="46"/>
        <v>0</v>
      </c>
      <c r="Z43" s="487">
        <f t="shared" si="46"/>
        <v>0</v>
      </c>
      <c r="AA43" s="487">
        <f t="shared" si="46"/>
        <v>0</v>
      </c>
      <c r="AB43" s="487">
        <f t="shared" si="46"/>
        <v>0</v>
      </c>
      <c r="AC43" s="487">
        <f t="shared" si="46"/>
        <v>0</v>
      </c>
      <c r="AD43" s="487">
        <f t="shared" si="46"/>
        <v>0</v>
      </c>
      <c r="AE43" s="487">
        <f t="shared" si="46"/>
        <v>0</v>
      </c>
      <c r="AF43" s="487">
        <f t="shared" si="46"/>
        <v>0</v>
      </c>
      <c r="AG43" s="487">
        <f t="shared" si="46"/>
        <v>0</v>
      </c>
      <c r="AH43" s="487">
        <f t="shared" si="46"/>
        <v>0</v>
      </c>
      <c r="AI43" s="487">
        <f t="shared" si="46"/>
        <v>0</v>
      </c>
      <c r="AJ43" s="487">
        <f t="shared" si="46"/>
        <v>0</v>
      </c>
      <c r="AK43" s="487">
        <f t="shared" si="46"/>
        <v>0</v>
      </c>
      <c r="AL43" s="487">
        <f t="shared" si="46"/>
        <v>0</v>
      </c>
    </row>
    <row r="44" spans="1:38" hidden="1">
      <c r="A44" s="361" t="str">
        <f>A27</f>
        <v>Standard Chartered Bank</v>
      </c>
      <c r="G44" s="252">
        <f>G27</f>
        <v>3</v>
      </c>
      <c r="H44" s="362"/>
      <c r="I44" s="487">
        <f>IF($B$1+$G$44&gt;=I$23,0,1)</f>
        <v>0</v>
      </c>
      <c r="J44" s="487">
        <f t="shared" ref="J44:AL44" si="47">IF($B$1+$G$44&gt;=J$23,0,1)</f>
        <v>0</v>
      </c>
      <c r="K44" s="487">
        <f t="shared" si="47"/>
        <v>0</v>
      </c>
      <c r="L44" s="487">
        <f t="shared" si="47"/>
        <v>0</v>
      </c>
      <c r="M44" s="487">
        <f t="shared" si="47"/>
        <v>1</v>
      </c>
      <c r="N44" s="487">
        <f t="shared" si="47"/>
        <v>1</v>
      </c>
      <c r="O44" s="487">
        <f t="shared" si="47"/>
        <v>1</v>
      </c>
      <c r="P44" s="487">
        <f t="shared" si="47"/>
        <v>1</v>
      </c>
      <c r="Q44" s="487">
        <f t="shared" si="47"/>
        <v>1</v>
      </c>
      <c r="R44" s="487">
        <f t="shared" si="47"/>
        <v>1</v>
      </c>
      <c r="S44" s="487">
        <f t="shared" si="47"/>
        <v>1</v>
      </c>
      <c r="T44" s="487">
        <f t="shared" si="47"/>
        <v>1</v>
      </c>
      <c r="U44" s="487">
        <f t="shared" si="47"/>
        <v>1</v>
      </c>
      <c r="V44" s="487">
        <f t="shared" si="47"/>
        <v>1</v>
      </c>
      <c r="W44" s="487">
        <f t="shared" si="47"/>
        <v>1</v>
      </c>
      <c r="X44" s="487">
        <f t="shared" si="47"/>
        <v>1</v>
      </c>
      <c r="Y44" s="487">
        <f t="shared" si="47"/>
        <v>1</v>
      </c>
      <c r="Z44" s="487">
        <f t="shared" si="47"/>
        <v>1</v>
      </c>
      <c r="AA44" s="487">
        <f t="shared" si="47"/>
        <v>1</v>
      </c>
      <c r="AB44" s="487">
        <f t="shared" si="47"/>
        <v>1</v>
      </c>
      <c r="AC44" s="487">
        <f t="shared" si="47"/>
        <v>1</v>
      </c>
      <c r="AD44" s="487">
        <f t="shared" si="47"/>
        <v>1</v>
      </c>
      <c r="AE44" s="487">
        <f t="shared" si="47"/>
        <v>1</v>
      </c>
      <c r="AF44" s="487">
        <f t="shared" si="47"/>
        <v>1</v>
      </c>
      <c r="AG44" s="487">
        <f t="shared" si="47"/>
        <v>1</v>
      </c>
      <c r="AH44" s="487">
        <f t="shared" si="47"/>
        <v>1</v>
      </c>
      <c r="AI44" s="487">
        <f t="shared" si="47"/>
        <v>1</v>
      </c>
      <c r="AJ44" s="487">
        <f t="shared" si="47"/>
        <v>1</v>
      </c>
      <c r="AK44" s="487">
        <f t="shared" si="47"/>
        <v>1</v>
      </c>
      <c r="AL44" s="487">
        <f t="shared" si="47"/>
        <v>1</v>
      </c>
    </row>
    <row r="45" spans="1:38" hidden="1">
      <c r="A45" s="361" t="str">
        <f t="shared" ref="A45:A48" si="48">A28</f>
        <v>India Eco Energy Invest</v>
      </c>
      <c r="G45" s="252">
        <f t="shared" ref="G45:G48" si="49">G28</f>
        <v>3</v>
      </c>
      <c r="H45" s="362"/>
      <c r="I45" s="487">
        <f>IF($B$1+$G$45&gt;=I$23,0,1)</f>
        <v>0</v>
      </c>
      <c r="J45" s="487">
        <f t="shared" ref="J45:AL45" si="50">IF($B$1+$G$45&gt;=J$23,0,1)</f>
        <v>0</v>
      </c>
      <c r="K45" s="487">
        <f t="shared" si="50"/>
        <v>0</v>
      </c>
      <c r="L45" s="487">
        <f t="shared" si="50"/>
        <v>0</v>
      </c>
      <c r="M45" s="487">
        <f t="shared" si="50"/>
        <v>1</v>
      </c>
      <c r="N45" s="487">
        <f t="shared" si="50"/>
        <v>1</v>
      </c>
      <c r="O45" s="487">
        <f t="shared" si="50"/>
        <v>1</v>
      </c>
      <c r="P45" s="487">
        <f t="shared" si="50"/>
        <v>1</v>
      </c>
      <c r="Q45" s="487">
        <f t="shared" si="50"/>
        <v>1</v>
      </c>
      <c r="R45" s="487">
        <f t="shared" si="50"/>
        <v>1</v>
      </c>
      <c r="S45" s="487">
        <f t="shared" si="50"/>
        <v>1</v>
      </c>
      <c r="T45" s="487">
        <f t="shared" si="50"/>
        <v>1</v>
      </c>
      <c r="U45" s="487">
        <f t="shared" si="50"/>
        <v>1</v>
      </c>
      <c r="V45" s="487">
        <f t="shared" si="50"/>
        <v>1</v>
      </c>
      <c r="W45" s="487">
        <f t="shared" si="50"/>
        <v>1</v>
      </c>
      <c r="X45" s="487">
        <f t="shared" si="50"/>
        <v>1</v>
      </c>
      <c r="Y45" s="487">
        <f t="shared" si="50"/>
        <v>1</v>
      </c>
      <c r="Z45" s="487">
        <f t="shared" si="50"/>
        <v>1</v>
      </c>
      <c r="AA45" s="487">
        <f t="shared" si="50"/>
        <v>1</v>
      </c>
      <c r="AB45" s="487">
        <f t="shared" si="50"/>
        <v>1</v>
      </c>
      <c r="AC45" s="487">
        <f t="shared" si="50"/>
        <v>1</v>
      </c>
      <c r="AD45" s="487">
        <f t="shared" si="50"/>
        <v>1</v>
      </c>
      <c r="AE45" s="487">
        <f t="shared" si="50"/>
        <v>1</v>
      </c>
      <c r="AF45" s="487">
        <f t="shared" si="50"/>
        <v>1</v>
      </c>
      <c r="AG45" s="487">
        <f t="shared" si="50"/>
        <v>1</v>
      </c>
      <c r="AH45" s="487">
        <f t="shared" si="50"/>
        <v>1</v>
      </c>
      <c r="AI45" s="487">
        <f t="shared" si="50"/>
        <v>1</v>
      </c>
      <c r="AJ45" s="487">
        <f t="shared" si="50"/>
        <v>1</v>
      </c>
      <c r="AK45" s="487">
        <f t="shared" si="50"/>
        <v>1</v>
      </c>
      <c r="AL45" s="487">
        <f t="shared" si="50"/>
        <v>1</v>
      </c>
    </row>
    <row r="46" spans="1:38" hidden="1">
      <c r="A46" s="361" t="str">
        <f t="shared" si="48"/>
        <v>N/A</v>
      </c>
      <c r="G46" s="252">
        <f t="shared" si="49"/>
        <v>0</v>
      </c>
      <c r="H46" s="362"/>
      <c r="I46" s="487">
        <f>IF($B$1+$G$46&gt;=I$23,0,1)</f>
        <v>0</v>
      </c>
      <c r="J46" s="487">
        <f t="shared" ref="J46:AL46" si="51">IF($B$1+$G$46&gt;=J$23,0,1)</f>
        <v>1</v>
      </c>
      <c r="K46" s="487">
        <f t="shared" si="51"/>
        <v>1</v>
      </c>
      <c r="L46" s="487">
        <f t="shared" si="51"/>
        <v>1</v>
      </c>
      <c r="M46" s="487">
        <f t="shared" si="51"/>
        <v>1</v>
      </c>
      <c r="N46" s="487">
        <f t="shared" si="51"/>
        <v>1</v>
      </c>
      <c r="O46" s="487">
        <f t="shared" si="51"/>
        <v>1</v>
      </c>
      <c r="P46" s="487">
        <f t="shared" si="51"/>
        <v>1</v>
      </c>
      <c r="Q46" s="487">
        <f t="shared" si="51"/>
        <v>1</v>
      </c>
      <c r="R46" s="487">
        <f t="shared" si="51"/>
        <v>1</v>
      </c>
      <c r="S46" s="487">
        <f t="shared" si="51"/>
        <v>1</v>
      </c>
      <c r="T46" s="487">
        <f t="shared" si="51"/>
        <v>1</v>
      </c>
      <c r="U46" s="487">
        <f t="shared" si="51"/>
        <v>1</v>
      </c>
      <c r="V46" s="487">
        <f t="shared" si="51"/>
        <v>1</v>
      </c>
      <c r="W46" s="487">
        <f t="shared" si="51"/>
        <v>1</v>
      </c>
      <c r="X46" s="487">
        <f t="shared" si="51"/>
        <v>1</v>
      </c>
      <c r="Y46" s="487">
        <f t="shared" si="51"/>
        <v>1</v>
      </c>
      <c r="Z46" s="487">
        <f t="shared" si="51"/>
        <v>1</v>
      </c>
      <c r="AA46" s="487">
        <f t="shared" si="51"/>
        <v>1</v>
      </c>
      <c r="AB46" s="487">
        <f t="shared" si="51"/>
        <v>1</v>
      </c>
      <c r="AC46" s="487">
        <f t="shared" si="51"/>
        <v>1</v>
      </c>
      <c r="AD46" s="487">
        <f t="shared" si="51"/>
        <v>1</v>
      </c>
      <c r="AE46" s="487">
        <f t="shared" si="51"/>
        <v>1</v>
      </c>
      <c r="AF46" s="487">
        <f t="shared" si="51"/>
        <v>1</v>
      </c>
      <c r="AG46" s="487">
        <f t="shared" si="51"/>
        <v>1</v>
      </c>
      <c r="AH46" s="487">
        <f t="shared" si="51"/>
        <v>1</v>
      </c>
      <c r="AI46" s="487">
        <f t="shared" si="51"/>
        <v>1</v>
      </c>
      <c r="AJ46" s="487">
        <f t="shared" si="51"/>
        <v>1</v>
      </c>
      <c r="AK46" s="487">
        <f t="shared" si="51"/>
        <v>1</v>
      </c>
      <c r="AL46" s="487">
        <f t="shared" si="51"/>
        <v>1</v>
      </c>
    </row>
    <row r="47" spans="1:38" hidden="1">
      <c r="A47" s="361" t="str">
        <f t="shared" si="48"/>
        <v>N/A</v>
      </c>
      <c r="G47" s="252">
        <f t="shared" si="49"/>
        <v>0</v>
      </c>
      <c r="H47" s="362"/>
      <c r="I47" s="487">
        <f>IF($B$1+$G$47&gt;=I$23,0,1)</f>
        <v>0</v>
      </c>
      <c r="J47" s="487">
        <f t="shared" ref="J47:AL47" si="52">IF($B$1+$G$47&gt;=J$23,0,1)</f>
        <v>1</v>
      </c>
      <c r="K47" s="487">
        <f t="shared" si="52"/>
        <v>1</v>
      </c>
      <c r="L47" s="487">
        <f t="shared" si="52"/>
        <v>1</v>
      </c>
      <c r="M47" s="487">
        <f t="shared" si="52"/>
        <v>1</v>
      </c>
      <c r="N47" s="487">
        <f t="shared" si="52"/>
        <v>1</v>
      </c>
      <c r="O47" s="487">
        <f t="shared" si="52"/>
        <v>1</v>
      </c>
      <c r="P47" s="487">
        <f t="shared" si="52"/>
        <v>1</v>
      </c>
      <c r="Q47" s="487">
        <f t="shared" si="52"/>
        <v>1</v>
      </c>
      <c r="R47" s="487">
        <f t="shared" si="52"/>
        <v>1</v>
      </c>
      <c r="S47" s="487">
        <f t="shared" si="52"/>
        <v>1</v>
      </c>
      <c r="T47" s="487">
        <f t="shared" si="52"/>
        <v>1</v>
      </c>
      <c r="U47" s="487">
        <f t="shared" si="52"/>
        <v>1</v>
      </c>
      <c r="V47" s="487">
        <f t="shared" si="52"/>
        <v>1</v>
      </c>
      <c r="W47" s="487">
        <f t="shared" si="52"/>
        <v>1</v>
      </c>
      <c r="X47" s="487">
        <f t="shared" si="52"/>
        <v>1</v>
      </c>
      <c r="Y47" s="487">
        <f t="shared" si="52"/>
        <v>1</v>
      </c>
      <c r="Z47" s="487">
        <f t="shared" si="52"/>
        <v>1</v>
      </c>
      <c r="AA47" s="487">
        <f t="shared" si="52"/>
        <v>1</v>
      </c>
      <c r="AB47" s="487">
        <f t="shared" si="52"/>
        <v>1</v>
      </c>
      <c r="AC47" s="487">
        <f t="shared" si="52"/>
        <v>1</v>
      </c>
      <c r="AD47" s="487">
        <f t="shared" si="52"/>
        <v>1</v>
      </c>
      <c r="AE47" s="487">
        <f t="shared" si="52"/>
        <v>1</v>
      </c>
      <c r="AF47" s="487">
        <f t="shared" si="52"/>
        <v>1</v>
      </c>
      <c r="AG47" s="487">
        <f t="shared" si="52"/>
        <v>1</v>
      </c>
      <c r="AH47" s="487">
        <f t="shared" si="52"/>
        <v>1</v>
      </c>
      <c r="AI47" s="487">
        <f t="shared" si="52"/>
        <v>1</v>
      </c>
      <c r="AJ47" s="487">
        <f t="shared" si="52"/>
        <v>1</v>
      </c>
      <c r="AK47" s="487">
        <f t="shared" si="52"/>
        <v>1</v>
      </c>
      <c r="AL47" s="487">
        <f t="shared" si="52"/>
        <v>1</v>
      </c>
    </row>
    <row r="48" spans="1:38" hidden="1">
      <c r="A48" s="361" t="str">
        <f t="shared" si="48"/>
        <v>Supplier NN</v>
      </c>
      <c r="G48" s="252">
        <f t="shared" si="49"/>
        <v>2</v>
      </c>
      <c r="H48" s="362"/>
      <c r="I48" s="487">
        <f>IF($B$1+$G$48&gt;=I$23,0,1)</f>
        <v>0</v>
      </c>
      <c r="J48" s="487">
        <f t="shared" ref="J48:AL48" si="53">IF($B$1+$G$48&gt;=J$23,0,1)</f>
        <v>0</v>
      </c>
      <c r="K48" s="487">
        <f t="shared" si="53"/>
        <v>0</v>
      </c>
      <c r="L48" s="487">
        <f t="shared" si="53"/>
        <v>1</v>
      </c>
      <c r="M48" s="487">
        <f t="shared" si="53"/>
        <v>1</v>
      </c>
      <c r="N48" s="487">
        <f t="shared" si="53"/>
        <v>1</v>
      </c>
      <c r="O48" s="487">
        <f t="shared" si="53"/>
        <v>1</v>
      </c>
      <c r="P48" s="487">
        <f t="shared" si="53"/>
        <v>1</v>
      </c>
      <c r="Q48" s="487">
        <f t="shared" si="53"/>
        <v>1</v>
      </c>
      <c r="R48" s="487">
        <f t="shared" si="53"/>
        <v>1</v>
      </c>
      <c r="S48" s="487">
        <f t="shared" si="53"/>
        <v>1</v>
      </c>
      <c r="T48" s="487">
        <f t="shared" si="53"/>
        <v>1</v>
      </c>
      <c r="U48" s="487">
        <f t="shared" si="53"/>
        <v>1</v>
      </c>
      <c r="V48" s="487">
        <f t="shared" si="53"/>
        <v>1</v>
      </c>
      <c r="W48" s="487">
        <f t="shared" si="53"/>
        <v>1</v>
      </c>
      <c r="X48" s="487">
        <f t="shared" si="53"/>
        <v>1</v>
      </c>
      <c r="Y48" s="487">
        <f t="shared" si="53"/>
        <v>1</v>
      </c>
      <c r="Z48" s="487">
        <f t="shared" si="53"/>
        <v>1</v>
      </c>
      <c r="AA48" s="487">
        <f t="shared" si="53"/>
        <v>1</v>
      </c>
      <c r="AB48" s="487">
        <f t="shared" si="53"/>
        <v>1</v>
      </c>
      <c r="AC48" s="487">
        <f t="shared" si="53"/>
        <v>1</v>
      </c>
      <c r="AD48" s="487">
        <f t="shared" si="53"/>
        <v>1</v>
      </c>
      <c r="AE48" s="487">
        <f t="shared" si="53"/>
        <v>1</v>
      </c>
      <c r="AF48" s="487">
        <f t="shared" si="53"/>
        <v>1</v>
      </c>
      <c r="AG48" s="487">
        <f t="shared" si="53"/>
        <v>1</v>
      </c>
      <c r="AH48" s="487">
        <f t="shared" si="53"/>
        <v>1</v>
      </c>
      <c r="AI48" s="487">
        <f t="shared" si="53"/>
        <v>1</v>
      </c>
      <c r="AJ48" s="487">
        <f t="shared" si="53"/>
        <v>1</v>
      </c>
      <c r="AK48" s="487">
        <f t="shared" si="53"/>
        <v>1</v>
      </c>
      <c r="AL48" s="487">
        <f t="shared" si="53"/>
        <v>1</v>
      </c>
    </row>
    <row r="49" spans="1:38" hidden="1">
      <c r="A49" s="361" t="str">
        <f>A32</f>
        <v>Mezzanine loan</v>
      </c>
      <c r="G49" s="252">
        <f>G32</f>
        <v>1</v>
      </c>
      <c r="H49" s="362"/>
      <c r="I49" s="487">
        <f t="shared" ref="I49:AL49" si="54">IF($B$1+$G$49&gt;=I$23,0,1)</f>
        <v>0</v>
      </c>
      <c r="J49" s="487">
        <f t="shared" si="54"/>
        <v>0</v>
      </c>
      <c r="K49" s="487">
        <f t="shared" si="54"/>
        <v>1</v>
      </c>
      <c r="L49" s="487">
        <f t="shared" si="54"/>
        <v>1</v>
      </c>
      <c r="M49" s="487">
        <f t="shared" si="54"/>
        <v>1</v>
      </c>
      <c r="N49" s="487">
        <f t="shared" si="54"/>
        <v>1</v>
      </c>
      <c r="O49" s="487">
        <f t="shared" si="54"/>
        <v>1</v>
      </c>
      <c r="P49" s="487">
        <f t="shared" si="54"/>
        <v>1</v>
      </c>
      <c r="Q49" s="487">
        <f t="shared" si="54"/>
        <v>1</v>
      </c>
      <c r="R49" s="487">
        <f t="shared" si="54"/>
        <v>1</v>
      </c>
      <c r="S49" s="487">
        <f t="shared" si="54"/>
        <v>1</v>
      </c>
      <c r="T49" s="487">
        <f t="shared" si="54"/>
        <v>1</v>
      </c>
      <c r="U49" s="487">
        <f t="shared" si="54"/>
        <v>1</v>
      </c>
      <c r="V49" s="487">
        <f t="shared" si="54"/>
        <v>1</v>
      </c>
      <c r="W49" s="487">
        <f t="shared" si="54"/>
        <v>1</v>
      </c>
      <c r="X49" s="487">
        <f t="shared" si="54"/>
        <v>1</v>
      </c>
      <c r="Y49" s="487">
        <f t="shared" si="54"/>
        <v>1</v>
      </c>
      <c r="Z49" s="487">
        <f t="shared" si="54"/>
        <v>1</v>
      </c>
      <c r="AA49" s="487">
        <f t="shared" si="54"/>
        <v>1</v>
      </c>
      <c r="AB49" s="487">
        <f t="shared" si="54"/>
        <v>1</v>
      </c>
      <c r="AC49" s="487">
        <f t="shared" si="54"/>
        <v>1</v>
      </c>
      <c r="AD49" s="487">
        <f t="shared" si="54"/>
        <v>1</v>
      </c>
      <c r="AE49" s="487">
        <f t="shared" si="54"/>
        <v>1</v>
      </c>
      <c r="AF49" s="487">
        <f t="shared" si="54"/>
        <v>1</v>
      </c>
      <c r="AG49" s="487">
        <f t="shared" si="54"/>
        <v>1</v>
      </c>
      <c r="AH49" s="487">
        <f t="shared" si="54"/>
        <v>1</v>
      </c>
      <c r="AI49" s="487">
        <f t="shared" si="54"/>
        <v>1</v>
      </c>
      <c r="AJ49" s="487">
        <f t="shared" si="54"/>
        <v>1</v>
      </c>
      <c r="AK49" s="487">
        <f t="shared" si="54"/>
        <v>1</v>
      </c>
      <c r="AL49" s="487">
        <f t="shared" si="54"/>
        <v>1</v>
      </c>
    </row>
    <row r="50" spans="1:38">
      <c r="A50" s="300" t="s">
        <v>350</v>
      </c>
      <c r="B50" s="488"/>
      <c r="C50" s="472"/>
      <c r="D50" s="472"/>
      <c r="E50" s="472"/>
      <c r="F50" s="473"/>
      <c r="G50" s="489"/>
      <c r="H50" s="490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11"/>
    </row>
    <row r="51" spans="1:38">
      <c r="A51" s="314" t="s">
        <v>351</v>
      </c>
      <c r="B51" s="482" t="s">
        <v>21</v>
      </c>
      <c r="C51" s="483"/>
      <c r="D51" s="483"/>
      <c r="E51" s="483"/>
      <c r="F51" s="491"/>
      <c r="G51" s="492"/>
      <c r="H51" s="493"/>
      <c r="I51" s="480">
        <f>IF(I$43&lt;=0,0,IF($I44&gt;=1,0,-$H$34))</f>
        <v>0</v>
      </c>
      <c r="J51" s="480">
        <f t="shared" ref="J51:AL51" si="55">IF(J$43&lt;=0,0,IF($I44&gt;=1,0,-$H$34))</f>
        <v>0</v>
      </c>
      <c r="K51" s="480">
        <f t="shared" si="55"/>
        <v>0</v>
      </c>
      <c r="L51" s="480">
        <f t="shared" si="55"/>
        <v>-1.7399350000000005</v>
      </c>
      <c r="M51" s="480">
        <f t="shared" si="55"/>
        <v>0</v>
      </c>
      <c r="N51" s="480">
        <f t="shared" si="55"/>
        <v>0</v>
      </c>
      <c r="O51" s="480">
        <f t="shared" si="55"/>
        <v>0</v>
      </c>
      <c r="P51" s="480">
        <f t="shared" si="55"/>
        <v>0</v>
      </c>
      <c r="Q51" s="480">
        <f t="shared" si="55"/>
        <v>0</v>
      </c>
      <c r="R51" s="480">
        <f t="shared" si="55"/>
        <v>0</v>
      </c>
      <c r="S51" s="480">
        <f t="shared" si="55"/>
        <v>0</v>
      </c>
      <c r="T51" s="480">
        <f t="shared" si="55"/>
        <v>0</v>
      </c>
      <c r="U51" s="480">
        <f t="shared" si="55"/>
        <v>0</v>
      </c>
      <c r="V51" s="480">
        <f t="shared" si="55"/>
        <v>0</v>
      </c>
      <c r="W51" s="480">
        <f t="shared" si="55"/>
        <v>0</v>
      </c>
      <c r="X51" s="480">
        <f t="shared" si="55"/>
        <v>0</v>
      </c>
      <c r="Y51" s="480">
        <f t="shared" si="55"/>
        <v>0</v>
      </c>
      <c r="Z51" s="480">
        <f t="shared" si="55"/>
        <v>0</v>
      </c>
      <c r="AA51" s="480">
        <f t="shared" si="55"/>
        <v>0</v>
      </c>
      <c r="AB51" s="480">
        <f t="shared" si="55"/>
        <v>0</v>
      </c>
      <c r="AC51" s="480">
        <f t="shared" si="55"/>
        <v>0</v>
      </c>
      <c r="AD51" s="480">
        <f t="shared" si="55"/>
        <v>0</v>
      </c>
      <c r="AE51" s="480">
        <f t="shared" si="55"/>
        <v>0</v>
      </c>
      <c r="AF51" s="480">
        <f t="shared" si="55"/>
        <v>0</v>
      </c>
      <c r="AG51" s="480">
        <f t="shared" si="55"/>
        <v>0</v>
      </c>
      <c r="AH51" s="480">
        <f t="shared" si="55"/>
        <v>0</v>
      </c>
      <c r="AI51" s="480">
        <f t="shared" si="55"/>
        <v>0</v>
      </c>
      <c r="AJ51" s="480">
        <f t="shared" si="55"/>
        <v>0</v>
      </c>
      <c r="AK51" s="480">
        <f t="shared" si="55"/>
        <v>0</v>
      </c>
      <c r="AL51" s="486">
        <f t="shared" si="55"/>
        <v>0</v>
      </c>
    </row>
    <row r="52" spans="1:38">
      <c r="A52" s="300" t="str">
        <f>A11</f>
        <v>Standard Chartered Bank</v>
      </c>
      <c r="B52" s="488"/>
      <c r="C52" s="472"/>
      <c r="D52" s="472"/>
      <c r="E52" s="472"/>
      <c r="F52" s="473" t="s">
        <v>115</v>
      </c>
      <c r="G52" s="473"/>
      <c r="H52" s="490" t="s">
        <v>4</v>
      </c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11"/>
    </row>
    <row r="53" spans="1:38" ht="15" hidden="1" customHeight="1">
      <c r="A53" s="494" t="s">
        <v>62</v>
      </c>
      <c r="B53" s="495"/>
      <c r="C53" s="496"/>
      <c r="D53" s="496"/>
      <c r="E53" s="496"/>
      <c r="F53" s="497"/>
      <c r="G53" s="497"/>
      <c r="H53" s="498"/>
      <c r="I53" s="499">
        <f t="shared" ref="I53:AL53" si="56">(ROUND(I54+I57,2))</f>
        <v>0</v>
      </c>
      <c r="J53" s="499">
        <f t="shared" si="56"/>
        <v>3</v>
      </c>
      <c r="K53" s="499">
        <f t="shared" si="56"/>
        <v>6</v>
      </c>
      <c r="L53" s="499">
        <f t="shared" si="56"/>
        <v>6</v>
      </c>
      <c r="M53" s="499">
        <f t="shared" si="56"/>
        <v>5.78</v>
      </c>
      <c r="N53" s="499">
        <f t="shared" si="56"/>
        <v>5.54</v>
      </c>
      <c r="O53" s="499">
        <f t="shared" si="56"/>
        <v>5.28</v>
      </c>
      <c r="P53" s="499">
        <f t="shared" si="56"/>
        <v>5</v>
      </c>
      <c r="Q53" s="499">
        <f t="shared" si="56"/>
        <v>4.7</v>
      </c>
      <c r="R53" s="499">
        <f t="shared" si="56"/>
        <v>4.38</v>
      </c>
      <c r="S53" s="499">
        <f t="shared" si="56"/>
        <v>4.03</v>
      </c>
      <c r="T53" s="499">
        <f t="shared" si="56"/>
        <v>3.65</v>
      </c>
      <c r="U53" s="499">
        <f t="shared" si="56"/>
        <v>3.24</v>
      </c>
      <c r="V53" s="499">
        <f t="shared" si="56"/>
        <v>2.8</v>
      </c>
      <c r="W53" s="499">
        <f t="shared" si="56"/>
        <v>2.3199999999999998</v>
      </c>
      <c r="X53" s="499">
        <f t="shared" si="56"/>
        <v>1.8</v>
      </c>
      <c r="Y53" s="499">
        <f t="shared" si="56"/>
        <v>1.24</v>
      </c>
      <c r="Z53" s="499">
        <f t="shared" si="56"/>
        <v>0.64</v>
      </c>
      <c r="AA53" s="499">
        <f t="shared" si="56"/>
        <v>-0.01</v>
      </c>
      <c r="AB53" s="499">
        <f t="shared" si="56"/>
        <v>0</v>
      </c>
      <c r="AC53" s="499">
        <f t="shared" si="56"/>
        <v>0</v>
      </c>
      <c r="AD53" s="499">
        <f t="shared" si="56"/>
        <v>0</v>
      </c>
      <c r="AE53" s="499">
        <f t="shared" si="56"/>
        <v>0</v>
      </c>
      <c r="AF53" s="499">
        <f t="shared" si="56"/>
        <v>0</v>
      </c>
      <c r="AG53" s="499">
        <f t="shared" si="56"/>
        <v>0</v>
      </c>
      <c r="AH53" s="499">
        <f t="shared" si="56"/>
        <v>0</v>
      </c>
      <c r="AI53" s="499">
        <f t="shared" si="56"/>
        <v>0</v>
      </c>
      <c r="AJ53" s="499">
        <f t="shared" si="56"/>
        <v>0</v>
      </c>
      <c r="AK53" s="499">
        <f t="shared" si="56"/>
        <v>0</v>
      </c>
      <c r="AL53" s="500">
        <f t="shared" si="56"/>
        <v>0</v>
      </c>
    </row>
    <row r="54" spans="1:38">
      <c r="A54" s="306" t="s">
        <v>11</v>
      </c>
      <c r="B54" s="476" t="s">
        <v>21</v>
      </c>
      <c r="C54" s="474"/>
      <c r="D54" s="474"/>
      <c r="E54" s="474"/>
      <c r="F54" s="501"/>
      <c r="G54" s="501"/>
      <c r="H54" s="502"/>
      <c r="I54" s="480">
        <f>IF(I27=0,0, I27)</f>
        <v>0</v>
      </c>
      <c r="J54" s="480">
        <f t="shared" ref="J54:AL54" si="57">IF(I54+J27+I57&lt;=0,0,ROUND(I54+J27+I57,2))</f>
        <v>3</v>
      </c>
      <c r="K54" s="480">
        <f t="shared" si="57"/>
        <v>6</v>
      </c>
      <c r="L54" s="480">
        <f t="shared" si="57"/>
        <v>6</v>
      </c>
      <c r="M54" s="480">
        <f t="shared" si="57"/>
        <v>6</v>
      </c>
      <c r="N54" s="480">
        <f t="shared" si="57"/>
        <v>5.78</v>
      </c>
      <c r="O54" s="480">
        <f t="shared" si="57"/>
        <v>5.54</v>
      </c>
      <c r="P54" s="480">
        <f t="shared" si="57"/>
        <v>5.28</v>
      </c>
      <c r="Q54" s="480">
        <f t="shared" si="57"/>
        <v>5</v>
      </c>
      <c r="R54" s="480">
        <f t="shared" si="57"/>
        <v>4.7</v>
      </c>
      <c r="S54" s="480">
        <f t="shared" si="57"/>
        <v>4.38</v>
      </c>
      <c r="T54" s="480">
        <f t="shared" si="57"/>
        <v>4.03</v>
      </c>
      <c r="U54" s="480">
        <f t="shared" si="57"/>
        <v>3.65</v>
      </c>
      <c r="V54" s="480">
        <f t="shared" si="57"/>
        <v>3.24</v>
      </c>
      <c r="W54" s="480">
        <f t="shared" si="57"/>
        <v>2.8</v>
      </c>
      <c r="X54" s="480">
        <f t="shared" si="57"/>
        <v>2.3199999999999998</v>
      </c>
      <c r="Y54" s="480">
        <f t="shared" si="57"/>
        <v>1.8</v>
      </c>
      <c r="Z54" s="480">
        <f t="shared" si="57"/>
        <v>1.24</v>
      </c>
      <c r="AA54" s="480">
        <f t="shared" si="57"/>
        <v>0.64</v>
      </c>
      <c r="AB54" s="480">
        <f t="shared" si="57"/>
        <v>0</v>
      </c>
      <c r="AC54" s="480">
        <f t="shared" si="57"/>
        <v>0</v>
      </c>
      <c r="AD54" s="480">
        <f t="shared" si="57"/>
        <v>0</v>
      </c>
      <c r="AE54" s="480">
        <f t="shared" si="57"/>
        <v>0</v>
      </c>
      <c r="AF54" s="480">
        <f t="shared" si="57"/>
        <v>0</v>
      </c>
      <c r="AG54" s="480">
        <f t="shared" si="57"/>
        <v>0</v>
      </c>
      <c r="AH54" s="480">
        <f t="shared" si="57"/>
        <v>0</v>
      </c>
      <c r="AI54" s="480">
        <f t="shared" si="57"/>
        <v>0</v>
      </c>
      <c r="AJ54" s="480">
        <f t="shared" si="57"/>
        <v>0</v>
      </c>
      <c r="AK54" s="480">
        <f t="shared" si="57"/>
        <v>0</v>
      </c>
      <c r="AL54" s="481">
        <f t="shared" si="57"/>
        <v>0</v>
      </c>
    </row>
    <row r="55" spans="1:38">
      <c r="A55" s="306" t="s">
        <v>61</v>
      </c>
      <c r="B55" s="476" t="s">
        <v>21</v>
      </c>
      <c r="C55" s="474"/>
      <c r="D55" s="474"/>
      <c r="E55" s="474"/>
      <c r="F55" s="503">
        <f>NPV('Pre-conditions'!$B$8,I55:AL55)</f>
        <v>-5.3926257610741661</v>
      </c>
      <c r="G55" s="503"/>
      <c r="H55" s="504">
        <f>SUM(I55:AH55)</f>
        <v>-10.514659044241803</v>
      </c>
      <c r="I55" s="480">
        <f t="shared" ref="I55:AL55" si="58">IF(I$44=0,0,IF(I54&lt;=0,0,IF(I27&lt;=0,PMT($F27,$E27,$H27,0),PMT($F27,$E27,I54,0))))</f>
        <v>0</v>
      </c>
      <c r="J55" s="480">
        <f t="shared" si="58"/>
        <v>0</v>
      </c>
      <c r="K55" s="480">
        <f t="shared" si="58"/>
        <v>0</v>
      </c>
      <c r="L55" s="480">
        <f t="shared" si="58"/>
        <v>0</v>
      </c>
      <c r="M55" s="480">
        <f t="shared" si="58"/>
        <v>-0.70097726961612028</v>
      </c>
      <c r="N55" s="480">
        <f t="shared" si="58"/>
        <v>-0.70097726961612028</v>
      </c>
      <c r="O55" s="480">
        <f t="shared" si="58"/>
        <v>-0.70097726961612028</v>
      </c>
      <c r="P55" s="480">
        <f t="shared" si="58"/>
        <v>-0.70097726961612028</v>
      </c>
      <c r="Q55" s="480">
        <f t="shared" si="58"/>
        <v>-0.70097726961612028</v>
      </c>
      <c r="R55" s="480">
        <f t="shared" si="58"/>
        <v>-0.70097726961612028</v>
      </c>
      <c r="S55" s="480">
        <f t="shared" si="58"/>
        <v>-0.70097726961612028</v>
      </c>
      <c r="T55" s="480">
        <f t="shared" si="58"/>
        <v>-0.70097726961612028</v>
      </c>
      <c r="U55" s="480">
        <f t="shared" si="58"/>
        <v>-0.70097726961612028</v>
      </c>
      <c r="V55" s="480">
        <f t="shared" si="58"/>
        <v>-0.70097726961612028</v>
      </c>
      <c r="W55" s="480">
        <f t="shared" si="58"/>
        <v>-0.70097726961612028</v>
      </c>
      <c r="X55" s="480">
        <f t="shared" si="58"/>
        <v>-0.70097726961612028</v>
      </c>
      <c r="Y55" s="480">
        <f t="shared" si="58"/>
        <v>-0.70097726961612028</v>
      </c>
      <c r="Z55" s="480">
        <f t="shared" si="58"/>
        <v>-0.70097726961612028</v>
      </c>
      <c r="AA55" s="480">
        <f t="shared" si="58"/>
        <v>-0.70097726961612028</v>
      </c>
      <c r="AB55" s="480">
        <f t="shared" si="58"/>
        <v>0</v>
      </c>
      <c r="AC55" s="480">
        <f t="shared" si="58"/>
        <v>0</v>
      </c>
      <c r="AD55" s="480">
        <f t="shared" si="58"/>
        <v>0</v>
      </c>
      <c r="AE55" s="480">
        <f t="shared" si="58"/>
        <v>0</v>
      </c>
      <c r="AF55" s="480">
        <f t="shared" si="58"/>
        <v>0</v>
      </c>
      <c r="AG55" s="480">
        <f t="shared" si="58"/>
        <v>0</v>
      </c>
      <c r="AH55" s="480">
        <f t="shared" si="58"/>
        <v>0</v>
      </c>
      <c r="AI55" s="480">
        <f t="shared" si="58"/>
        <v>0</v>
      </c>
      <c r="AJ55" s="480">
        <f t="shared" si="58"/>
        <v>0</v>
      </c>
      <c r="AK55" s="480">
        <f t="shared" si="58"/>
        <v>0</v>
      </c>
      <c r="AL55" s="481">
        <f t="shared" si="58"/>
        <v>0</v>
      </c>
    </row>
    <row r="56" spans="1:38">
      <c r="A56" s="306" t="s">
        <v>12</v>
      </c>
      <c r="B56" s="476" t="s">
        <v>21</v>
      </c>
      <c r="C56" s="474"/>
      <c r="D56" s="474"/>
      <c r="E56" s="474"/>
      <c r="F56" s="503">
        <f>NPV('Pre-conditions'!$B$8,I56:AL56)</f>
        <v>-2.5591814433531637</v>
      </c>
      <c r="G56" s="503"/>
      <c r="H56" s="504">
        <f t="shared" ref="H56:H57" si="59">SUM(I56:AH56)</f>
        <v>-4.5119999999999996</v>
      </c>
      <c r="I56" s="480">
        <f t="shared" ref="I56:AL56" si="60">IF(I$44&lt;=0,0,IF(I54&lt;=0,0,-I54*$F27))</f>
        <v>0</v>
      </c>
      <c r="J56" s="480">
        <f t="shared" si="60"/>
        <v>0</v>
      </c>
      <c r="K56" s="480">
        <f t="shared" si="60"/>
        <v>0</v>
      </c>
      <c r="L56" s="480">
        <f t="shared" si="60"/>
        <v>0</v>
      </c>
      <c r="M56" s="480">
        <f t="shared" si="60"/>
        <v>-0.48</v>
      </c>
      <c r="N56" s="480">
        <f t="shared" si="60"/>
        <v>-0.46240000000000003</v>
      </c>
      <c r="O56" s="480">
        <f t="shared" si="60"/>
        <v>-0.44320000000000004</v>
      </c>
      <c r="P56" s="480">
        <f t="shared" si="60"/>
        <v>-0.42240000000000005</v>
      </c>
      <c r="Q56" s="480">
        <f t="shared" si="60"/>
        <v>-0.4</v>
      </c>
      <c r="R56" s="480">
        <f t="shared" si="60"/>
        <v>-0.376</v>
      </c>
      <c r="S56" s="480">
        <f t="shared" si="60"/>
        <v>-0.35039999999999999</v>
      </c>
      <c r="T56" s="480">
        <f t="shared" si="60"/>
        <v>-0.32240000000000002</v>
      </c>
      <c r="U56" s="480">
        <f t="shared" si="60"/>
        <v>-0.29199999999999998</v>
      </c>
      <c r="V56" s="480">
        <f t="shared" si="60"/>
        <v>-0.25920000000000004</v>
      </c>
      <c r="W56" s="480">
        <f t="shared" si="60"/>
        <v>-0.22399999999999998</v>
      </c>
      <c r="X56" s="480">
        <f t="shared" si="60"/>
        <v>-0.18559999999999999</v>
      </c>
      <c r="Y56" s="480">
        <f t="shared" si="60"/>
        <v>-0.14400000000000002</v>
      </c>
      <c r="Z56" s="480">
        <f t="shared" si="60"/>
        <v>-9.9199999999999997E-2</v>
      </c>
      <c r="AA56" s="480">
        <f t="shared" si="60"/>
        <v>-5.1200000000000002E-2</v>
      </c>
      <c r="AB56" s="480">
        <f t="shared" si="60"/>
        <v>0</v>
      </c>
      <c r="AC56" s="480">
        <f t="shared" si="60"/>
        <v>0</v>
      </c>
      <c r="AD56" s="480">
        <f t="shared" si="60"/>
        <v>0</v>
      </c>
      <c r="AE56" s="480">
        <f t="shared" si="60"/>
        <v>0</v>
      </c>
      <c r="AF56" s="480">
        <f t="shared" si="60"/>
        <v>0</v>
      </c>
      <c r="AG56" s="480">
        <f t="shared" si="60"/>
        <v>0</v>
      </c>
      <c r="AH56" s="480">
        <f t="shared" si="60"/>
        <v>0</v>
      </c>
      <c r="AI56" s="480">
        <f t="shared" si="60"/>
        <v>0</v>
      </c>
      <c r="AJ56" s="480">
        <f t="shared" si="60"/>
        <v>0</v>
      </c>
      <c r="AK56" s="480">
        <f t="shared" si="60"/>
        <v>0</v>
      </c>
      <c r="AL56" s="481">
        <f t="shared" si="60"/>
        <v>0</v>
      </c>
    </row>
    <row r="57" spans="1:38">
      <c r="A57" s="314" t="s">
        <v>13</v>
      </c>
      <c r="B57" s="482" t="s">
        <v>21</v>
      </c>
      <c r="C57" s="483"/>
      <c r="D57" s="483"/>
      <c r="E57" s="483"/>
      <c r="F57" s="503">
        <f>NPV('Pre-conditions'!$B$8,I57:AL57)</f>
        <v>-2.8364810270182406</v>
      </c>
      <c r="G57" s="503"/>
      <c r="H57" s="504">
        <f t="shared" si="59"/>
        <v>-6.01</v>
      </c>
      <c r="I57" s="485">
        <f t="shared" ref="I57" si="61">ROUND(I55-I56,2)</f>
        <v>0</v>
      </c>
      <c r="J57" s="485">
        <f t="shared" ref="J57" si="62">ROUND(J55-J56,2)</f>
        <v>0</v>
      </c>
      <c r="K57" s="485">
        <f t="shared" ref="K57" si="63">ROUND(K55-K56,2)</f>
        <v>0</v>
      </c>
      <c r="L57" s="485">
        <f t="shared" ref="L57" si="64">ROUND(L55-L56,2)</f>
        <v>0</v>
      </c>
      <c r="M57" s="485">
        <f t="shared" ref="M57" si="65">ROUND(M55-M56,2)</f>
        <v>-0.22</v>
      </c>
      <c r="N57" s="485">
        <f t="shared" ref="N57" si="66">ROUND(N55-N56,2)</f>
        <v>-0.24</v>
      </c>
      <c r="O57" s="485">
        <f t="shared" ref="O57" si="67">ROUND(O55-O56,2)</f>
        <v>-0.26</v>
      </c>
      <c r="P57" s="485">
        <f t="shared" ref="P57" si="68">ROUND(P55-P56,2)</f>
        <v>-0.28000000000000003</v>
      </c>
      <c r="Q57" s="485">
        <f t="shared" ref="Q57" si="69">ROUND(Q55-Q56,2)</f>
        <v>-0.3</v>
      </c>
      <c r="R57" s="485">
        <f t="shared" ref="R57" si="70">ROUND(R55-R56,2)</f>
        <v>-0.32</v>
      </c>
      <c r="S57" s="485">
        <f>ROUND(S55-S56,2)</f>
        <v>-0.35</v>
      </c>
      <c r="T57" s="485">
        <f>ROUND(T55-T56,2)</f>
        <v>-0.38</v>
      </c>
      <c r="U57" s="485">
        <f t="shared" ref="U57:AL57" si="71">ROUND(U55-U56,2)</f>
        <v>-0.41</v>
      </c>
      <c r="V57" s="485">
        <f t="shared" si="71"/>
        <v>-0.44</v>
      </c>
      <c r="W57" s="485">
        <f t="shared" si="71"/>
        <v>-0.48</v>
      </c>
      <c r="X57" s="485">
        <f t="shared" si="71"/>
        <v>-0.52</v>
      </c>
      <c r="Y57" s="485">
        <f t="shared" si="71"/>
        <v>-0.56000000000000005</v>
      </c>
      <c r="Z57" s="485">
        <f t="shared" si="71"/>
        <v>-0.6</v>
      </c>
      <c r="AA57" s="485">
        <f t="shared" si="71"/>
        <v>-0.65</v>
      </c>
      <c r="AB57" s="485">
        <f t="shared" si="71"/>
        <v>0</v>
      </c>
      <c r="AC57" s="485">
        <f t="shared" si="71"/>
        <v>0</v>
      </c>
      <c r="AD57" s="485">
        <f t="shared" si="71"/>
        <v>0</v>
      </c>
      <c r="AE57" s="485">
        <f t="shared" si="71"/>
        <v>0</v>
      </c>
      <c r="AF57" s="485">
        <f t="shared" si="71"/>
        <v>0</v>
      </c>
      <c r="AG57" s="485">
        <f t="shared" si="71"/>
        <v>0</v>
      </c>
      <c r="AH57" s="485">
        <f t="shared" si="71"/>
        <v>0</v>
      </c>
      <c r="AI57" s="485">
        <f t="shared" si="71"/>
        <v>0</v>
      </c>
      <c r="AJ57" s="485">
        <f t="shared" si="71"/>
        <v>0</v>
      </c>
      <c r="AK57" s="485">
        <f t="shared" si="71"/>
        <v>0</v>
      </c>
      <c r="AL57" s="486">
        <f t="shared" si="71"/>
        <v>0</v>
      </c>
    </row>
    <row r="58" spans="1:38">
      <c r="A58" s="300" t="str">
        <f>A12</f>
        <v>India Eco Energy Invest</v>
      </c>
      <c r="B58" s="488"/>
      <c r="C58" s="472"/>
      <c r="D58" s="472"/>
      <c r="E58" s="472"/>
      <c r="F58" s="473"/>
      <c r="G58" s="473"/>
      <c r="H58" s="471"/>
      <c r="I58" s="310"/>
      <c r="J58" s="310"/>
      <c r="K58" s="310"/>
      <c r="L58" s="505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507"/>
    </row>
    <row r="59" spans="1:38" ht="15" hidden="1" customHeight="1">
      <c r="A59" s="494" t="s">
        <v>62</v>
      </c>
      <c r="B59" s="495"/>
      <c r="C59" s="496"/>
      <c r="D59" s="496"/>
      <c r="E59" s="496"/>
      <c r="F59" s="497"/>
      <c r="G59" s="497"/>
      <c r="H59" s="508"/>
      <c r="I59" s="499">
        <f t="shared" ref="I59:AL59" si="72">(ROUND(I60+I63,2))</f>
        <v>0.5</v>
      </c>
      <c r="J59" s="499">
        <f t="shared" si="72"/>
        <v>4</v>
      </c>
      <c r="K59" s="499">
        <f t="shared" si="72"/>
        <v>4.5</v>
      </c>
      <c r="L59" s="499">
        <f t="shared" si="72"/>
        <v>4.5</v>
      </c>
      <c r="M59" s="499">
        <f t="shared" si="72"/>
        <v>4.42</v>
      </c>
      <c r="N59" s="499">
        <f t="shared" si="72"/>
        <v>4.33</v>
      </c>
      <c r="O59" s="499">
        <f t="shared" si="72"/>
        <v>4.2300000000000004</v>
      </c>
      <c r="P59" s="499">
        <f t="shared" si="72"/>
        <v>4.12</v>
      </c>
      <c r="Q59" s="499">
        <f t="shared" si="72"/>
        <v>4</v>
      </c>
      <c r="R59" s="499">
        <f t="shared" si="72"/>
        <v>3.87</v>
      </c>
      <c r="S59" s="499">
        <f t="shared" si="72"/>
        <v>3.73</v>
      </c>
      <c r="T59" s="499">
        <f t="shared" si="72"/>
        <v>3.57</v>
      </c>
      <c r="U59" s="499">
        <f t="shared" si="72"/>
        <v>3.4</v>
      </c>
      <c r="V59" s="499">
        <f t="shared" si="72"/>
        <v>3.21</v>
      </c>
      <c r="W59" s="499">
        <f t="shared" si="72"/>
        <v>3</v>
      </c>
      <c r="X59" s="499">
        <f t="shared" si="72"/>
        <v>2.77</v>
      </c>
      <c r="Y59" s="499">
        <f t="shared" si="72"/>
        <v>2.52</v>
      </c>
      <c r="Z59" s="499">
        <f t="shared" si="72"/>
        <v>2.2400000000000002</v>
      </c>
      <c r="AA59" s="499">
        <f t="shared" si="72"/>
        <v>1.94</v>
      </c>
      <c r="AB59" s="499">
        <f t="shared" si="72"/>
        <v>1.61</v>
      </c>
      <c r="AC59" s="499">
        <f t="shared" si="72"/>
        <v>1.24</v>
      </c>
      <c r="AD59" s="499">
        <f t="shared" si="72"/>
        <v>0.84</v>
      </c>
      <c r="AE59" s="499">
        <f t="shared" si="72"/>
        <v>0.4</v>
      </c>
      <c r="AF59" s="499">
        <f t="shared" si="72"/>
        <v>-0.09</v>
      </c>
      <c r="AG59" s="499">
        <f t="shared" si="72"/>
        <v>0</v>
      </c>
      <c r="AH59" s="499">
        <f t="shared" si="72"/>
        <v>0</v>
      </c>
      <c r="AI59" s="499">
        <f t="shared" si="72"/>
        <v>0</v>
      </c>
      <c r="AJ59" s="499">
        <f t="shared" si="72"/>
        <v>0</v>
      </c>
      <c r="AK59" s="499">
        <f t="shared" si="72"/>
        <v>0</v>
      </c>
      <c r="AL59" s="500">
        <f t="shared" si="72"/>
        <v>0</v>
      </c>
    </row>
    <row r="60" spans="1:38">
      <c r="A60" s="306" t="s">
        <v>11</v>
      </c>
      <c r="B60" s="476" t="s">
        <v>21</v>
      </c>
      <c r="C60" s="474"/>
      <c r="D60" s="474"/>
      <c r="E60" s="474"/>
      <c r="F60" s="501"/>
      <c r="G60" s="501"/>
      <c r="H60" s="509"/>
      <c r="I60" s="480">
        <f>IF(I28=0,0, I28)</f>
        <v>0.5</v>
      </c>
      <c r="J60" s="480">
        <f t="shared" ref="J60:AL60" si="73">IF(I60+J28+I63&lt;0,0,ROUND(I60+J28+I63,2))</f>
        <v>4</v>
      </c>
      <c r="K60" s="480">
        <f t="shared" si="73"/>
        <v>4.5</v>
      </c>
      <c r="L60" s="480">
        <f t="shared" si="73"/>
        <v>4.5</v>
      </c>
      <c r="M60" s="480">
        <f t="shared" si="73"/>
        <v>4.5</v>
      </c>
      <c r="N60" s="480">
        <f t="shared" si="73"/>
        <v>4.42</v>
      </c>
      <c r="O60" s="480">
        <f t="shared" si="73"/>
        <v>4.33</v>
      </c>
      <c r="P60" s="480">
        <f t="shared" si="73"/>
        <v>4.2300000000000004</v>
      </c>
      <c r="Q60" s="480">
        <f t="shared" si="73"/>
        <v>4.12</v>
      </c>
      <c r="R60" s="480">
        <f t="shared" si="73"/>
        <v>4</v>
      </c>
      <c r="S60" s="480">
        <f t="shared" si="73"/>
        <v>3.87</v>
      </c>
      <c r="T60" s="480">
        <f t="shared" si="73"/>
        <v>3.73</v>
      </c>
      <c r="U60" s="480">
        <f t="shared" si="73"/>
        <v>3.57</v>
      </c>
      <c r="V60" s="480">
        <f t="shared" si="73"/>
        <v>3.4</v>
      </c>
      <c r="W60" s="480">
        <f t="shared" si="73"/>
        <v>3.21</v>
      </c>
      <c r="X60" s="480">
        <f t="shared" si="73"/>
        <v>3</v>
      </c>
      <c r="Y60" s="480">
        <f t="shared" si="73"/>
        <v>2.77</v>
      </c>
      <c r="Z60" s="480">
        <f t="shared" si="73"/>
        <v>2.52</v>
      </c>
      <c r="AA60" s="480">
        <f t="shared" si="73"/>
        <v>2.2400000000000002</v>
      </c>
      <c r="AB60" s="480">
        <f t="shared" si="73"/>
        <v>1.94</v>
      </c>
      <c r="AC60" s="480">
        <f t="shared" si="73"/>
        <v>1.61</v>
      </c>
      <c r="AD60" s="480">
        <f t="shared" si="73"/>
        <v>1.24</v>
      </c>
      <c r="AE60" s="480">
        <f t="shared" si="73"/>
        <v>0.84</v>
      </c>
      <c r="AF60" s="480">
        <f t="shared" si="73"/>
        <v>0.4</v>
      </c>
      <c r="AG60" s="480">
        <f t="shared" si="73"/>
        <v>0</v>
      </c>
      <c r="AH60" s="480">
        <f t="shared" si="73"/>
        <v>0</v>
      </c>
      <c r="AI60" s="480">
        <f t="shared" si="73"/>
        <v>0</v>
      </c>
      <c r="AJ60" s="480">
        <f t="shared" si="73"/>
        <v>0</v>
      </c>
      <c r="AK60" s="480">
        <f t="shared" si="73"/>
        <v>0</v>
      </c>
      <c r="AL60" s="481">
        <f t="shared" si="73"/>
        <v>0</v>
      </c>
    </row>
    <row r="61" spans="1:38">
      <c r="A61" s="306" t="s">
        <v>61</v>
      </c>
      <c r="B61" s="476" t="s">
        <v>21</v>
      </c>
      <c r="C61" s="474"/>
      <c r="D61" s="474"/>
      <c r="E61" s="474"/>
      <c r="F61" s="503">
        <f>NPV('Pre-conditions'!$B$8,I61:AL61)</f>
        <v>-4.8021762640840659</v>
      </c>
      <c r="G61" s="503"/>
      <c r="H61" s="504">
        <f>SUM(I61:AH61)</f>
        <v>-10.571366229529117</v>
      </c>
      <c r="I61" s="480">
        <f t="shared" ref="I61:AL61" si="74">IF(I$45=0,0,IF(I60&lt;=0,0,IF(I28&lt;=0,PMT($F28,$E28,$H28,0),PMT($F28,$E28,I60,0))))</f>
        <v>0</v>
      </c>
      <c r="J61" s="480">
        <f t="shared" si="74"/>
        <v>0</v>
      </c>
      <c r="K61" s="480">
        <f t="shared" si="74"/>
        <v>0</v>
      </c>
      <c r="L61" s="480">
        <f t="shared" si="74"/>
        <v>0</v>
      </c>
      <c r="M61" s="480">
        <f t="shared" si="74"/>
        <v>-0.528568311476456</v>
      </c>
      <c r="N61" s="480">
        <f t="shared" si="74"/>
        <v>-0.528568311476456</v>
      </c>
      <c r="O61" s="480">
        <f t="shared" si="74"/>
        <v>-0.528568311476456</v>
      </c>
      <c r="P61" s="480">
        <f t="shared" si="74"/>
        <v>-0.528568311476456</v>
      </c>
      <c r="Q61" s="480">
        <f t="shared" si="74"/>
        <v>-0.528568311476456</v>
      </c>
      <c r="R61" s="480">
        <f t="shared" si="74"/>
        <v>-0.528568311476456</v>
      </c>
      <c r="S61" s="480">
        <f t="shared" si="74"/>
        <v>-0.528568311476456</v>
      </c>
      <c r="T61" s="480">
        <f t="shared" si="74"/>
        <v>-0.528568311476456</v>
      </c>
      <c r="U61" s="480">
        <f t="shared" si="74"/>
        <v>-0.528568311476456</v>
      </c>
      <c r="V61" s="480">
        <f t="shared" si="74"/>
        <v>-0.528568311476456</v>
      </c>
      <c r="W61" s="480">
        <f t="shared" si="74"/>
        <v>-0.528568311476456</v>
      </c>
      <c r="X61" s="480">
        <f t="shared" si="74"/>
        <v>-0.528568311476456</v>
      </c>
      <c r="Y61" s="480">
        <f t="shared" si="74"/>
        <v>-0.528568311476456</v>
      </c>
      <c r="Z61" s="480">
        <f t="shared" si="74"/>
        <v>-0.528568311476456</v>
      </c>
      <c r="AA61" s="480">
        <f t="shared" si="74"/>
        <v>-0.528568311476456</v>
      </c>
      <c r="AB61" s="480">
        <f t="shared" si="74"/>
        <v>-0.528568311476456</v>
      </c>
      <c r="AC61" s="480">
        <f t="shared" si="74"/>
        <v>-0.528568311476456</v>
      </c>
      <c r="AD61" s="480">
        <f t="shared" si="74"/>
        <v>-0.528568311476456</v>
      </c>
      <c r="AE61" s="480">
        <f t="shared" si="74"/>
        <v>-0.528568311476456</v>
      </c>
      <c r="AF61" s="480">
        <f t="shared" si="74"/>
        <v>-0.528568311476456</v>
      </c>
      <c r="AG61" s="480">
        <f t="shared" si="74"/>
        <v>0</v>
      </c>
      <c r="AH61" s="480">
        <f t="shared" si="74"/>
        <v>0</v>
      </c>
      <c r="AI61" s="480">
        <f t="shared" si="74"/>
        <v>0</v>
      </c>
      <c r="AJ61" s="480">
        <f t="shared" si="74"/>
        <v>0</v>
      </c>
      <c r="AK61" s="480">
        <f t="shared" si="74"/>
        <v>0</v>
      </c>
      <c r="AL61" s="481">
        <f t="shared" si="74"/>
        <v>0</v>
      </c>
    </row>
    <row r="62" spans="1:38">
      <c r="A62" s="306" t="s">
        <v>12</v>
      </c>
      <c r="B62" s="476" t="s">
        <v>21</v>
      </c>
      <c r="C62" s="474"/>
      <c r="D62" s="474"/>
      <c r="E62" s="474"/>
      <c r="F62" s="503">
        <f>NPV('Pre-conditions'!$B$8,I62:AL62)</f>
        <v>-3.0667935254765708</v>
      </c>
      <c r="G62" s="503"/>
      <c r="H62" s="504">
        <f t="shared" ref="H62:H63" si="75">SUM(I62:AH62)</f>
        <v>-5.9939999999999998</v>
      </c>
      <c r="I62" s="480">
        <f t="shared" ref="I62:AL62" si="76">IF(I$45&lt;=0,0,IF(I60&lt;=0,0,-I60*$F28))</f>
        <v>0</v>
      </c>
      <c r="J62" s="480">
        <f t="shared" si="76"/>
        <v>0</v>
      </c>
      <c r="K62" s="480">
        <f t="shared" si="76"/>
        <v>0</v>
      </c>
      <c r="L62" s="480">
        <f t="shared" si="76"/>
        <v>0</v>
      </c>
      <c r="M62" s="480">
        <f t="shared" si="76"/>
        <v>-0.45</v>
      </c>
      <c r="N62" s="480">
        <f t="shared" si="76"/>
        <v>-0.442</v>
      </c>
      <c r="O62" s="480">
        <f t="shared" si="76"/>
        <v>-0.43300000000000005</v>
      </c>
      <c r="P62" s="480">
        <f t="shared" si="76"/>
        <v>-0.42300000000000004</v>
      </c>
      <c r="Q62" s="480">
        <f t="shared" si="76"/>
        <v>-0.41200000000000003</v>
      </c>
      <c r="R62" s="480">
        <f t="shared" si="76"/>
        <v>-0.4</v>
      </c>
      <c r="S62" s="480">
        <f t="shared" si="76"/>
        <v>-0.38700000000000001</v>
      </c>
      <c r="T62" s="480">
        <f t="shared" si="76"/>
        <v>-0.373</v>
      </c>
      <c r="U62" s="480">
        <f t="shared" si="76"/>
        <v>-0.35699999999999998</v>
      </c>
      <c r="V62" s="480">
        <f t="shared" si="76"/>
        <v>-0.34</v>
      </c>
      <c r="W62" s="480">
        <f t="shared" si="76"/>
        <v>-0.32100000000000001</v>
      </c>
      <c r="X62" s="480">
        <f t="shared" si="76"/>
        <v>-0.30000000000000004</v>
      </c>
      <c r="Y62" s="480">
        <f t="shared" si="76"/>
        <v>-0.27700000000000002</v>
      </c>
      <c r="Z62" s="480">
        <f t="shared" si="76"/>
        <v>-0.252</v>
      </c>
      <c r="AA62" s="480">
        <f t="shared" si="76"/>
        <v>-0.22400000000000003</v>
      </c>
      <c r="AB62" s="480">
        <f t="shared" si="76"/>
        <v>-0.19400000000000001</v>
      </c>
      <c r="AC62" s="480">
        <f t="shared" si="76"/>
        <v>-0.16100000000000003</v>
      </c>
      <c r="AD62" s="480">
        <f t="shared" si="76"/>
        <v>-0.124</v>
      </c>
      <c r="AE62" s="480">
        <f t="shared" si="76"/>
        <v>-8.4000000000000005E-2</v>
      </c>
      <c r="AF62" s="480">
        <f t="shared" si="76"/>
        <v>-4.0000000000000008E-2</v>
      </c>
      <c r="AG62" s="480">
        <f t="shared" si="76"/>
        <v>0</v>
      </c>
      <c r="AH62" s="480">
        <f t="shared" si="76"/>
        <v>0</v>
      </c>
      <c r="AI62" s="480">
        <f t="shared" si="76"/>
        <v>0</v>
      </c>
      <c r="AJ62" s="480">
        <f t="shared" si="76"/>
        <v>0</v>
      </c>
      <c r="AK62" s="480">
        <f t="shared" si="76"/>
        <v>0</v>
      </c>
      <c r="AL62" s="481">
        <f t="shared" si="76"/>
        <v>0</v>
      </c>
    </row>
    <row r="63" spans="1:38">
      <c r="A63" s="314" t="s">
        <v>13</v>
      </c>
      <c r="B63" s="482" t="s">
        <v>21</v>
      </c>
      <c r="C63" s="483"/>
      <c r="D63" s="483"/>
      <c r="E63" s="483"/>
      <c r="F63" s="503">
        <f>NPV('Pre-conditions'!$B$8,I63:AL63)</f>
        <v>-1.7465734386352194</v>
      </c>
      <c r="G63" s="503"/>
      <c r="H63" s="504">
        <f t="shared" si="75"/>
        <v>-4.59</v>
      </c>
      <c r="I63" s="485">
        <f t="shared" ref="I63" si="77">ROUND(I61-I62,2)</f>
        <v>0</v>
      </c>
      <c r="J63" s="485">
        <f>ROUND(J61-J62,2)</f>
        <v>0</v>
      </c>
      <c r="K63" s="485">
        <f>ROUND(K61-K62,2)</f>
        <v>0</v>
      </c>
      <c r="L63" s="485">
        <f t="shared" ref="L63:Z63" si="78">ROUND(L61-L62,2)</f>
        <v>0</v>
      </c>
      <c r="M63" s="485">
        <f t="shared" si="78"/>
        <v>-0.08</v>
      </c>
      <c r="N63" s="485">
        <f t="shared" si="78"/>
        <v>-0.09</v>
      </c>
      <c r="O63" s="485">
        <f t="shared" si="78"/>
        <v>-0.1</v>
      </c>
      <c r="P63" s="485">
        <f t="shared" si="78"/>
        <v>-0.11</v>
      </c>
      <c r="Q63" s="485">
        <f t="shared" si="78"/>
        <v>-0.12</v>
      </c>
      <c r="R63" s="485">
        <f t="shared" si="78"/>
        <v>-0.13</v>
      </c>
      <c r="S63" s="485">
        <f t="shared" si="78"/>
        <v>-0.14000000000000001</v>
      </c>
      <c r="T63" s="485">
        <f t="shared" si="78"/>
        <v>-0.16</v>
      </c>
      <c r="U63" s="485">
        <f t="shared" si="78"/>
        <v>-0.17</v>
      </c>
      <c r="V63" s="485">
        <f t="shared" si="78"/>
        <v>-0.19</v>
      </c>
      <c r="W63" s="485">
        <f t="shared" si="78"/>
        <v>-0.21</v>
      </c>
      <c r="X63" s="485">
        <f t="shared" si="78"/>
        <v>-0.23</v>
      </c>
      <c r="Y63" s="485">
        <f t="shared" si="78"/>
        <v>-0.25</v>
      </c>
      <c r="Z63" s="485">
        <f t="shared" si="78"/>
        <v>-0.28000000000000003</v>
      </c>
      <c r="AA63" s="485">
        <f t="shared" ref="AA63" si="79">ROUND(AA61-AA62,2)</f>
        <v>-0.3</v>
      </c>
      <c r="AB63" s="485">
        <f t="shared" ref="AB63" si="80">ROUND(AB61-AB62,2)</f>
        <v>-0.33</v>
      </c>
      <c r="AC63" s="485">
        <f t="shared" ref="AC63" si="81">ROUND(AC61-AC62,2)</f>
        <v>-0.37</v>
      </c>
      <c r="AD63" s="485">
        <f t="shared" ref="AD63" si="82">ROUND(AD61-AD62,2)</f>
        <v>-0.4</v>
      </c>
      <c r="AE63" s="485">
        <f t="shared" ref="AE63" si="83">ROUND(AE61-AE62,2)</f>
        <v>-0.44</v>
      </c>
      <c r="AF63" s="485">
        <f t="shared" ref="AF63" si="84">ROUND(AF61-AF62,2)</f>
        <v>-0.49</v>
      </c>
      <c r="AG63" s="485">
        <f t="shared" ref="AG63" si="85">ROUND(AG61-AG62,2)</f>
        <v>0</v>
      </c>
      <c r="AH63" s="485">
        <f t="shared" ref="AH63" si="86">ROUND(AH61-AH62,2)</f>
        <v>0</v>
      </c>
      <c r="AI63" s="485">
        <f t="shared" ref="AI63" si="87">ROUND(AI61-AI62,2)</f>
        <v>0</v>
      </c>
      <c r="AJ63" s="485">
        <f t="shared" ref="AJ63" si="88">ROUND(AJ61-AJ62,2)</f>
        <v>0</v>
      </c>
      <c r="AK63" s="485">
        <f t="shared" ref="AK63" si="89">ROUND(AK61-AK62,2)</f>
        <v>0</v>
      </c>
      <c r="AL63" s="486">
        <f t="shared" ref="AL63" si="90">ROUND(AL61-AL62,2)</f>
        <v>0</v>
      </c>
    </row>
    <row r="64" spans="1:38">
      <c r="A64" s="300" t="str">
        <f>A13</f>
        <v>N/A</v>
      </c>
      <c r="B64" s="488"/>
      <c r="C64" s="472"/>
      <c r="D64" s="472"/>
      <c r="E64" s="472"/>
      <c r="F64" s="473"/>
      <c r="G64" s="473"/>
      <c r="H64" s="473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11"/>
    </row>
    <row r="65" spans="1:38" ht="15" hidden="1" customHeight="1">
      <c r="A65" s="494" t="s">
        <v>62</v>
      </c>
      <c r="B65" s="495"/>
      <c r="C65" s="496"/>
      <c r="D65" s="496"/>
      <c r="E65" s="496"/>
      <c r="F65" s="497"/>
      <c r="G65" s="497"/>
      <c r="H65" s="497"/>
      <c r="I65" s="499">
        <f t="shared" ref="I65:AL65" si="91">(ROUND(I66+I69,2))</f>
        <v>0</v>
      </c>
      <c r="J65" s="499">
        <f t="shared" si="91"/>
        <v>0</v>
      </c>
      <c r="K65" s="499">
        <f t="shared" si="91"/>
        <v>0</v>
      </c>
      <c r="L65" s="499">
        <f t="shared" si="91"/>
        <v>0</v>
      </c>
      <c r="M65" s="499">
        <f t="shared" si="91"/>
        <v>0</v>
      </c>
      <c r="N65" s="499">
        <f t="shared" si="91"/>
        <v>0</v>
      </c>
      <c r="O65" s="499">
        <f t="shared" si="91"/>
        <v>0</v>
      </c>
      <c r="P65" s="499">
        <f t="shared" si="91"/>
        <v>0</v>
      </c>
      <c r="Q65" s="499">
        <f t="shared" si="91"/>
        <v>0</v>
      </c>
      <c r="R65" s="499">
        <f t="shared" si="91"/>
        <v>0</v>
      </c>
      <c r="S65" s="499">
        <f t="shared" si="91"/>
        <v>0</v>
      </c>
      <c r="T65" s="499">
        <f t="shared" si="91"/>
        <v>0</v>
      </c>
      <c r="U65" s="499">
        <f t="shared" si="91"/>
        <v>0</v>
      </c>
      <c r="V65" s="499">
        <f t="shared" si="91"/>
        <v>0</v>
      </c>
      <c r="W65" s="499">
        <f t="shared" si="91"/>
        <v>0</v>
      </c>
      <c r="X65" s="499">
        <f t="shared" si="91"/>
        <v>0</v>
      </c>
      <c r="Y65" s="499">
        <f t="shared" si="91"/>
        <v>0</v>
      </c>
      <c r="Z65" s="499">
        <f t="shared" si="91"/>
        <v>0</v>
      </c>
      <c r="AA65" s="499">
        <f t="shared" si="91"/>
        <v>0</v>
      </c>
      <c r="AB65" s="499">
        <f t="shared" si="91"/>
        <v>0</v>
      </c>
      <c r="AC65" s="499">
        <f t="shared" si="91"/>
        <v>0</v>
      </c>
      <c r="AD65" s="499">
        <f t="shared" si="91"/>
        <v>0</v>
      </c>
      <c r="AE65" s="499">
        <f t="shared" si="91"/>
        <v>0</v>
      </c>
      <c r="AF65" s="499">
        <f t="shared" si="91"/>
        <v>0</v>
      </c>
      <c r="AG65" s="499">
        <f t="shared" si="91"/>
        <v>0</v>
      </c>
      <c r="AH65" s="499">
        <f t="shared" si="91"/>
        <v>0</v>
      </c>
      <c r="AI65" s="499">
        <f t="shared" si="91"/>
        <v>0</v>
      </c>
      <c r="AJ65" s="499">
        <f t="shared" si="91"/>
        <v>0</v>
      </c>
      <c r="AK65" s="499">
        <f t="shared" si="91"/>
        <v>0</v>
      </c>
      <c r="AL65" s="500">
        <f t="shared" si="91"/>
        <v>0</v>
      </c>
    </row>
    <row r="66" spans="1:38">
      <c r="A66" s="306" t="s">
        <v>11</v>
      </c>
      <c r="B66" s="476" t="s">
        <v>21</v>
      </c>
      <c r="C66" s="474"/>
      <c r="D66" s="474"/>
      <c r="E66" s="474"/>
      <c r="F66" s="501"/>
      <c r="G66" s="501"/>
      <c r="H66" s="510"/>
      <c r="I66" s="480">
        <f>IF(I29=0,0, I29)</f>
        <v>0</v>
      </c>
      <c r="J66" s="480">
        <f t="shared" ref="J66:AL66" si="92">IF(I66+J29+I69&lt;0,0,ROUND(I66+J29+I69,2))</f>
        <v>0</v>
      </c>
      <c r="K66" s="480">
        <f t="shared" si="92"/>
        <v>0</v>
      </c>
      <c r="L66" s="480">
        <f t="shared" si="92"/>
        <v>0</v>
      </c>
      <c r="M66" s="480">
        <f t="shared" si="92"/>
        <v>0</v>
      </c>
      <c r="N66" s="480">
        <f t="shared" si="92"/>
        <v>0</v>
      </c>
      <c r="O66" s="480">
        <f t="shared" si="92"/>
        <v>0</v>
      </c>
      <c r="P66" s="480">
        <f t="shared" si="92"/>
        <v>0</v>
      </c>
      <c r="Q66" s="480">
        <f t="shared" si="92"/>
        <v>0</v>
      </c>
      <c r="R66" s="480">
        <f t="shared" si="92"/>
        <v>0</v>
      </c>
      <c r="S66" s="480">
        <f t="shared" si="92"/>
        <v>0</v>
      </c>
      <c r="T66" s="480">
        <f t="shared" si="92"/>
        <v>0</v>
      </c>
      <c r="U66" s="480">
        <f t="shared" si="92"/>
        <v>0</v>
      </c>
      <c r="V66" s="480">
        <f t="shared" si="92"/>
        <v>0</v>
      </c>
      <c r="W66" s="480">
        <f t="shared" si="92"/>
        <v>0</v>
      </c>
      <c r="X66" s="480">
        <f t="shared" si="92"/>
        <v>0</v>
      </c>
      <c r="Y66" s="480">
        <f t="shared" si="92"/>
        <v>0</v>
      </c>
      <c r="Z66" s="480">
        <f t="shared" si="92"/>
        <v>0</v>
      </c>
      <c r="AA66" s="480">
        <f t="shared" si="92"/>
        <v>0</v>
      </c>
      <c r="AB66" s="480">
        <f t="shared" si="92"/>
        <v>0</v>
      </c>
      <c r="AC66" s="480">
        <f t="shared" si="92"/>
        <v>0</v>
      </c>
      <c r="AD66" s="480">
        <f t="shared" si="92"/>
        <v>0</v>
      </c>
      <c r="AE66" s="480">
        <f t="shared" si="92"/>
        <v>0</v>
      </c>
      <c r="AF66" s="480">
        <f t="shared" si="92"/>
        <v>0</v>
      </c>
      <c r="AG66" s="480">
        <f t="shared" si="92"/>
        <v>0</v>
      </c>
      <c r="AH66" s="480">
        <f t="shared" si="92"/>
        <v>0</v>
      </c>
      <c r="AI66" s="480">
        <f t="shared" si="92"/>
        <v>0</v>
      </c>
      <c r="AJ66" s="480">
        <f t="shared" si="92"/>
        <v>0</v>
      </c>
      <c r="AK66" s="480">
        <f t="shared" si="92"/>
        <v>0</v>
      </c>
      <c r="AL66" s="481">
        <f t="shared" si="92"/>
        <v>0</v>
      </c>
    </row>
    <row r="67" spans="1:38">
      <c r="A67" s="306" t="s">
        <v>61</v>
      </c>
      <c r="B67" s="476" t="s">
        <v>21</v>
      </c>
      <c r="C67" s="474"/>
      <c r="D67" s="474"/>
      <c r="E67" s="474"/>
      <c r="F67" s="503">
        <f>NPV('Pre-conditions'!$B$8,I67:AL67)</f>
        <v>0</v>
      </c>
      <c r="G67" s="503"/>
      <c r="H67" s="504">
        <f>SUM(I67:AH67)</f>
        <v>0</v>
      </c>
      <c r="I67" s="480">
        <f t="shared" ref="I67:AL67" si="93">IF(I$46=0,0,ROUND(IF(I66&lt;=0,0,IF(I29&lt;=0,PMT($F29,$E29,$J66,0),PMT($F29,$E29,I66,0))),2))</f>
        <v>0</v>
      </c>
      <c r="J67" s="480">
        <f t="shared" si="93"/>
        <v>0</v>
      </c>
      <c r="K67" s="480">
        <f t="shared" si="93"/>
        <v>0</v>
      </c>
      <c r="L67" s="480">
        <f t="shared" si="93"/>
        <v>0</v>
      </c>
      <c r="M67" s="480">
        <f t="shared" si="93"/>
        <v>0</v>
      </c>
      <c r="N67" s="480">
        <f t="shared" si="93"/>
        <v>0</v>
      </c>
      <c r="O67" s="480">
        <f t="shared" si="93"/>
        <v>0</v>
      </c>
      <c r="P67" s="480">
        <f t="shared" si="93"/>
        <v>0</v>
      </c>
      <c r="Q67" s="480">
        <f t="shared" si="93"/>
        <v>0</v>
      </c>
      <c r="R67" s="480">
        <f t="shared" si="93"/>
        <v>0</v>
      </c>
      <c r="S67" s="480">
        <f t="shared" si="93"/>
        <v>0</v>
      </c>
      <c r="T67" s="480">
        <f t="shared" si="93"/>
        <v>0</v>
      </c>
      <c r="U67" s="480">
        <f t="shared" si="93"/>
        <v>0</v>
      </c>
      <c r="V67" s="480">
        <f t="shared" si="93"/>
        <v>0</v>
      </c>
      <c r="W67" s="480">
        <f t="shared" si="93"/>
        <v>0</v>
      </c>
      <c r="X67" s="480">
        <f t="shared" si="93"/>
        <v>0</v>
      </c>
      <c r="Y67" s="480">
        <f t="shared" si="93"/>
        <v>0</v>
      </c>
      <c r="Z67" s="480">
        <f t="shared" si="93"/>
        <v>0</v>
      </c>
      <c r="AA67" s="480">
        <f t="shared" si="93"/>
        <v>0</v>
      </c>
      <c r="AB67" s="480">
        <f t="shared" si="93"/>
        <v>0</v>
      </c>
      <c r="AC67" s="480">
        <f t="shared" si="93"/>
        <v>0</v>
      </c>
      <c r="AD67" s="480">
        <f t="shared" si="93"/>
        <v>0</v>
      </c>
      <c r="AE67" s="480">
        <f t="shared" si="93"/>
        <v>0</v>
      </c>
      <c r="AF67" s="480">
        <f t="shared" si="93"/>
        <v>0</v>
      </c>
      <c r="AG67" s="480">
        <f t="shared" si="93"/>
        <v>0</v>
      </c>
      <c r="AH67" s="480">
        <f t="shared" si="93"/>
        <v>0</v>
      </c>
      <c r="AI67" s="480">
        <f t="shared" si="93"/>
        <v>0</v>
      </c>
      <c r="AJ67" s="480">
        <f t="shared" si="93"/>
        <v>0</v>
      </c>
      <c r="AK67" s="480">
        <f t="shared" si="93"/>
        <v>0</v>
      </c>
      <c r="AL67" s="481">
        <f t="shared" si="93"/>
        <v>0</v>
      </c>
    </row>
    <row r="68" spans="1:38">
      <c r="A68" s="306" t="s">
        <v>12</v>
      </c>
      <c r="B68" s="476" t="s">
        <v>21</v>
      </c>
      <c r="C68" s="474"/>
      <c r="D68" s="474"/>
      <c r="E68" s="474"/>
      <c r="F68" s="503">
        <f>NPV('Pre-conditions'!$B$8,I68:AL68)</f>
        <v>0</v>
      </c>
      <c r="G68" s="503"/>
      <c r="H68" s="504">
        <f t="shared" ref="H68:H69" si="94">SUM(I68:AH68)</f>
        <v>0</v>
      </c>
      <c r="I68" s="480">
        <f t="shared" ref="I68:AL68" si="95">IF(I$46&lt;=0,0,IF(I66&lt;=0,0,-I66*$F29))</f>
        <v>0</v>
      </c>
      <c r="J68" s="480">
        <f t="shared" si="95"/>
        <v>0</v>
      </c>
      <c r="K68" s="480">
        <f t="shared" si="95"/>
        <v>0</v>
      </c>
      <c r="L68" s="480">
        <f t="shared" si="95"/>
        <v>0</v>
      </c>
      <c r="M68" s="480">
        <f t="shared" si="95"/>
        <v>0</v>
      </c>
      <c r="N68" s="480">
        <f t="shared" si="95"/>
        <v>0</v>
      </c>
      <c r="O68" s="480">
        <f t="shared" si="95"/>
        <v>0</v>
      </c>
      <c r="P68" s="480">
        <f t="shared" si="95"/>
        <v>0</v>
      </c>
      <c r="Q68" s="480">
        <f t="shared" si="95"/>
        <v>0</v>
      </c>
      <c r="R68" s="480">
        <f t="shared" si="95"/>
        <v>0</v>
      </c>
      <c r="S68" s="480">
        <f t="shared" si="95"/>
        <v>0</v>
      </c>
      <c r="T68" s="480">
        <f t="shared" si="95"/>
        <v>0</v>
      </c>
      <c r="U68" s="480">
        <f t="shared" si="95"/>
        <v>0</v>
      </c>
      <c r="V68" s="480">
        <f t="shared" si="95"/>
        <v>0</v>
      </c>
      <c r="W68" s="480">
        <f t="shared" si="95"/>
        <v>0</v>
      </c>
      <c r="X68" s="480">
        <f t="shared" si="95"/>
        <v>0</v>
      </c>
      <c r="Y68" s="480">
        <f t="shared" si="95"/>
        <v>0</v>
      </c>
      <c r="Z68" s="480">
        <f t="shared" si="95"/>
        <v>0</v>
      </c>
      <c r="AA68" s="480">
        <f t="shared" si="95"/>
        <v>0</v>
      </c>
      <c r="AB68" s="480">
        <f t="shared" si="95"/>
        <v>0</v>
      </c>
      <c r="AC68" s="480">
        <f t="shared" si="95"/>
        <v>0</v>
      </c>
      <c r="AD68" s="480">
        <f t="shared" si="95"/>
        <v>0</v>
      </c>
      <c r="AE68" s="480">
        <f t="shared" si="95"/>
        <v>0</v>
      </c>
      <c r="AF68" s="480">
        <f t="shared" si="95"/>
        <v>0</v>
      </c>
      <c r="AG68" s="480">
        <f t="shared" si="95"/>
        <v>0</v>
      </c>
      <c r="AH68" s="480">
        <f t="shared" si="95"/>
        <v>0</v>
      </c>
      <c r="AI68" s="480">
        <f t="shared" si="95"/>
        <v>0</v>
      </c>
      <c r="AJ68" s="480">
        <f t="shared" si="95"/>
        <v>0</v>
      </c>
      <c r="AK68" s="480">
        <f t="shared" si="95"/>
        <v>0</v>
      </c>
      <c r="AL68" s="481">
        <f t="shared" si="95"/>
        <v>0</v>
      </c>
    </row>
    <row r="69" spans="1:38">
      <c r="A69" s="314" t="s">
        <v>13</v>
      </c>
      <c r="B69" s="482" t="s">
        <v>21</v>
      </c>
      <c r="C69" s="483"/>
      <c r="D69" s="483"/>
      <c r="E69" s="483"/>
      <c r="F69" s="503">
        <f>NPV('Pre-conditions'!$B$8,I69:AL69)</f>
        <v>0</v>
      </c>
      <c r="G69" s="503"/>
      <c r="H69" s="511">
        <f t="shared" si="94"/>
        <v>0</v>
      </c>
      <c r="I69" s="485">
        <f>ROUND(I67-I68,2)</f>
        <v>0</v>
      </c>
      <c r="J69" s="485">
        <f t="shared" ref="J69:AL69" si="96">ROUND(J67-J68,2)</f>
        <v>0</v>
      </c>
      <c r="K69" s="485">
        <f t="shared" si="96"/>
        <v>0</v>
      </c>
      <c r="L69" s="485">
        <f t="shared" si="96"/>
        <v>0</v>
      </c>
      <c r="M69" s="485">
        <f t="shared" si="96"/>
        <v>0</v>
      </c>
      <c r="N69" s="485">
        <f t="shared" si="96"/>
        <v>0</v>
      </c>
      <c r="O69" s="485">
        <f t="shared" si="96"/>
        <v>0</v>
      </c>
      <c r="P69" s="485">
        <f t="shared" si="96"/>
        <v>0</v>
      </c>
      <c r="Q69" s="485">
        <f t="shared" si="96"/>
        <v>0</v>
      </c>
      <c r="R69" s="485">
        <f t="shared" si="96"/>
        <v>0</v>
      </c>
      <c r="S69" s="485">
        <f t="shared" si="96"/>
        <v>0</v>
      </c>
      <c r="T69" s="485">
        <f t="shared" si="96"/>
        <v>0</v>
      </c>
      <c r="U69" s="485">
        <f t="shared" si="96"/>
        <v>0</v>
      </c>
      <c r="V69" s="485">
        <f t="shared" si="96"/>
        <v>0</v>
      </c>
      <c r="W69" s="485">
        <f t="shared" si="96"/>
        <v>0</v>
      </c>
      <c r="X69" s="485">
        <f t="shared" si="96"/>
        <v>0</v>
      </c>
      <c r="Y69" s="485">
        <f t="shared" si="96"/>
        <v>0</v>
      </c>
      <c r="Z69" s="485">
        <f t="shared" si="96"/>
        <v>0</v>
      </c>
      <c r="AA69" s="485">
        <f t="shared" si="96"/>
        <v>0</v>
      </c>
      <c r="AB69" s="485">
        <f t="shared" si="96"/>
        <v>0</v>
      </c>
      <c r="AC69" s="485">
        <f t="shared" si="96"/>
        <v>0</v>
      </c>
      <c r="AD69" s="485">
        <f t="shared" si="96"/>
        <v>0</v>
      </c>
      <c r="AE69" s="485">
        <f t="shared" si="96"/>
        <v>0</v>
      </c>
      <c r="AF69" s="485">
        <f t="shared" si="96"/>
        <v>0</v>
      </c>
      <c r="AG69" s="485">
        <f t="shared" si="96"/>
        <v>0</v>
      </c>
      <c r="AH69" s="485">
        <f t="shared" si="96"/>
        <v>0</v>
      </c>
      <c r="AI69" s="485">
        <f t="shared" si="96"/>
        <v>0</v>
      </c>
      <c r="AJ69" s="485">
        <f t="shared" si="96"/>
        <v>0</v>
      </c>
      <c r="AK69" s="485">
        <f t="shared" si="96"/>
        <v>0</v>
      </c>
      <c r="AL69" s="486">
        <f t="shared" si="96"/>
        <v>0</v>
      </c>
    </row>
    <row r="70" spans="1:38">
      <c r="A70" s="300" t="str">
        <f>A14</f>
        <v>N/A</v>
      </c>
      <c r="B70" s="488"/>
      <c r="C70" s="472"/>
      <c r="D70" s="472"/>
      <c r="E70" s="472"/>
      <c r="F70" s="473"/>
      <c r="G70" s="473"/>
      <c r="H70" s="473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11"/>
    </row>
    <row r="71" spans="1:38" ht="15" hidden="1" customHeight="1">
      <c r="A71" s="494" t="s">
        <v>62</v>
      </c>
      <c r="B71" s="495"/>
      <c r="C71" s="496"/>
      <c r="D71" s="496"/>
      <c r="E71" s="496"/>
      <c r="F71" s="497"/>
      <c r="G71" s="497"/>
      <c r="H71" s="497"/>
      <c r="I71" s="499">
        <f t="shared" ref="I71" si="97">(ROUND(I72+I75,2))</f>
        <v>0</v>
      </c>
      <c r="J71" s="499">
        <f t="shared" ref="J71" si="98">(ROUND(J72+J75,2))</f>
        <v>0</v>
      </c>
      <c r="K71" s="499">
        <f t="shared" ref="K71" si="99">(ROUND(K72+K75,2))</f>
        <v>0</v>
      </c>
      <c r="L71" s="499">
        <f t="shared" ref="L71" si="100">(ROUND(L72+L75,2))</f>
        <v>0</v>
      </c>
      <c r="M71" s="499">
        <f t="shared" ref="M71" si="101">(ROUND(M72+M75,2))</f>
        <v>0</v>
      </c>
      <c r="N71" s="499">
        <f t="shared" ref="N71" si="102">(ROUND(N72+N75,2))</f>
        <v>0</v>
      </c>
      <c r="O71" s="499">
        <f t="shared" ref="O71" si="103">(ROUND(O72+O75,2))</f>
        <v>0</v>
      </c>
      <c r="P71" s="499">
        <f t="shared" ref="P71" si="104">(ROUND(P72+P75,2))</f>
        <v>0</v>
      </c>
      <c r="Q71" s="499">
        <f t="shared" ref="Q71" si="105">(ROUND(Q72+Q75,2))</f>
        <v>0</v>
      </c>
      <c r="R71" s="499">
        <f t="shared" ref="R71" si="106">(ROUND(R72+R75,2))</f>
        <v>0</v>
      </c>
      <c r="S71" s="499">
        <f t="shared" ref="S71" si="107">(ROUND(S72+S75,2))</f>
        <v>0</v>
      </c>
      <c r="T71" s="499">
        <f t="shared" ref="T71" si="108">(ROUND(T72+T75,2))</f>
        <v>0</v>
      </c>
      <c r="U71" s="499">
        <f t="shared" ref="U71" si="109">(ROUND(U72+U75,2))</f>
        <v>0</v>
      </c>
      <c r="V71" s="499">
        <f t="shared" ref="V71" si="110">(ROUND(V72+V75,2))</f>
        <v>0</v>
      </c>
      <c r="W71" s="499">
        <f t="shared" ref="W71" si="111">(ROUND(W72+W75,2))</f>
        <v>0</v>
      </c>
      <c r="X71" s="499">
        <f t="shared" ref="X71" si="112">(ROUND(X72+X75,2))</f>
        <v>0</v>
      </c>
      <c r="Y71" s="499">
        <f t="shared" ref="Y71" si="113">(ROUND(Y72+Y75,2))</f>
        <v>0</v>
      </c>
      <c r="Z71" s="499">
        <f t="shared" ref="Z71" si="114">(ROUND(Z72+Z75,2))</f>
        <v>0</v>
      </c>
      <c r="AA71" s="499">
        <f t="shared" ref="AA71" si="115">(ROUND(AA72+AA75,2))</f>
        <v>0</v>
      </c>
      <c r="AB71" s="499">
        <f t="shared" ref="AB71" si="116">(ROUND(AB72+AB75,2))</f>
        <v>0</v>
      </c>
      <c r="AC71" s="499">
        <f t="shared" ref="AC71" si="117">(ROUND(AC72+AC75,2))</f>
        <v>0</v>
      </c>
      <c r="AD71" s="499">
        <f t="shared" ref="AD71" si="118">(ROUND(AD72+AD75,2))</f>
        <v>0</v>
      </c>
      <c r="AE71" s="499">
        <f t="shared" ref="AE71" si="119">(ROUND(AE72+AE75,2))</f>
        <v>0</v>
      </c>
      <c r="AF71" s="499">
        <f t="shared" ref="AF71" si="120">(ROUND(AF72+AF75,2))</f>
        <v>0</v>
      </c>
      <c r="AG71" s="499">
        <f t="shared" ref="AG71" si="121">(ROUND(AG72+AG75,2))</f>
        <v>0</v>
      </c>
      <c r="AH71" s="499">
        <f t="shared" ref="AH71" si="122">(ROUND(AH72+AH75,2))</f>
        <v>0</v>
      </c>
      <c r="AI71" s="499">
        <f t="shared" ref="AI71" si="123">(ROUND(AI72+AI75,2))</f>
        <v>0</v>
      </c>
      <c r="AJ71" s="499">
        <f t="shared" ref="AJ71" si="124">(ROUND(AJ72+AJ75,2))</f>
        <v>0</v>
      </c>
      <c r="AK71" s="499">
        <f t="shared" ref="AK71" si="125">(ROUND(AK72+AK75,2))</f>
        <v>0</v>
      </c>
      <c r="AL71" s="500">
        <f t="shared" ref="AL71" si="126">(ROUND(AL72+AL75,2))</f>
        <v>0</v>
      </c>
    </row>
    <row r="72" spans="1:38">
      <c r="A72" s="306" t="s">
        <v>11</v>
      </c>
      <c r="B72" s="476" t="s">
        <v>21</v>
      </c>
      <c r="C72" s="474"/>
      <c r="D72" s="474"/>
      <c r="E72" s="474"/>
      <c r="F72" s="501"/>
      <c r="G72" s="501"/>
      <c r="H72" s="510"/>
      <c r="I72" s="480">
        <f>IF(I30=0,0, I30)</f>
        <v>0</v>
      </c>
      <c r="J72" s="480">
        <f t="shared" ref="J72:AL72" si="127">IF(I72+J30+I75&lt;0,0,ROUND(I72+J30+I75,2))</f>
        <v>0</v>
      </c>
      <c r="K72" s="480">
        <f t="shared" si="127"/>
        <v>0</v>
      </c>
      <c r="L72" s="480">
        <f t="shared" si="127"/>
        <v>0</v>
      </c>
      <c r="M72" s="480">
        <f t="shared" si="127"/>
        <v>0</v>
      </c>
      <c r="N72" s="480">
        <f t="shared" si="127"/>
        <v>0</v>
      </c>
      <c r="O72" s="480">
        <f t="shared" si="127"/>
        <v>0</v>
      </c>
      <c r="P72" s="480">
        <f t="shared" si="127"/>
        <v>0</v>
      </c>
      <c r="Q72" s="480">
        <f t="shared" si="127"/>
        <v>0</v>
      </c>
      <c r="R72" s="480">
        <f t="shared" si="127"/>
        <v>0</v>
      </c>
      <c r="S72" s="480">
        <f t="shared" si="127"/>
        <v>0</v>
      </c>
      <c r="T72" s="480">
        <f t="shared" si="127"/>
        <v>0</v>
      </c>
      <c r="U72" s="480">
        <f t="shared" si="127"/>
        <v>0</v>
      </c>
      <c r="V72" s="480">
        <f t="shared" si="127"/>
        <v>0</v>
      </c>
      <c r="W72" s="480">
        <f t="shared" si="127"/>
        <v>0</v>
      </c>
      <c r="X72" s="480">
        <f t="shared" si="127"/>
        <v>0</v>
      </c>
      <c r="Y72" s="480">
        <f t="shared" si="127"/>
        <v>0</v>
      </c>
      <c r="Z72" s="480">
        <f t="shared" si="127"/>
        <v>0</v>
      </c>
      <c r="AA72" s="480">
        <f t="shared" si="127"/>
        <v>0</v>
      </c>
      <c r="AB72" s="480">
        <f t="shared" si="127"/>
        <v>0</v>
      </c>
      <c r="AC72" s="480">
        <f t="shared" si="127"/>
        <v>0</v>
      </c>
      <c r="AD72" s="480">
        <f t="shared" si="127"/>
        <v>0</v>
      </c>
      <c r="AE72" s="480">
        <f t="shared" si="127"/>
        <v>0</v>
      </c>
      <c r="AF72" s="480">
        <f t="shared" si="127"/>
        <v>0</v>
      </c>
      <c r="AG72" s="480">
        <f t="shared" si="127"/>
        <v>0</v>
      </c>
      <c r="AH72" s="480">
        <f t="shared" si="127"/>
        <v>0</v>
      </c>
      <c r="AI72" s="480">
        <f t="shared" si="127"/>
        <v>0</v>
      </c>
      <c r="AJ72" s="480">
        <f t="shared" si="127"/>
        <v>0</v>
      </c>
      <c r="AK72" s="480">
        <f t="shared" si="127"/>
        <v>0</v>
      </c>
      <c r="AL72" s="481">
        <f t="shared" si="127"/>
        <v>0</v>
      </c>
    </row>
    <row r="73" spans="1:38">
      <c r="A73" s="306" t="s">
        <v>61</v>
      </c>
      <c r="B73" s="476" t="s">
        <v>21</v>
      </c>
      <c r="C73" s="474"/>
      <c r="D73" s="474"/>
      <c r="E73" s="474"/>
      <c r="F73" s="503">
        <f>NPV('Pre-conditions'!$B$8,I73:AL73)</f>
        <v>0</v>
      </c>
      <c r="G73" s="503"/>
      <c r="H73" s="504">
        <f>SUM(I73:AH73)</f>
        <v>0</v>
      </c>
      <c r="I73" s="480">
        <f t="shared" ref="I73:AL73" si="128">IF(I$47=0,0,ROUND(IF(I72&lt;=0,0,IF(I30&lt;=0,PMT($F30,$E30,$J72,0),PMT($F30,$E30,I72,0))),2))</f>
        <v>0</v>
      </c>
      <c r="J73" s="480">
        <f t="shared" si="128"/>
        <v>0</v>
      </c>
      <c r="K73" s="480">
        <f t="shared" si="128"/>
        <v>0</v>
      </c>
      <c r="L73" s="480">
        <f t="shared" si="128"/>
        <v>0</v>
      </c>
      <c r="M73" s="480">
        <f t="shared" si="128"/>
        <v>0</v>
      </c>
      <c r="N73" s="480">
        <f t="shared" si="128"/>
        <v>0</v>
      </c>
      <c r="O73" s="480">
        <f t="shared" si="128"/>
        <v>0</v>
      </c>
      <c r="P73" s="480">
        <f t="shared" si="128"/>
        <v>0</v>
      </c>
      <c r="Q73" s="480">
        <f t="shared" si="128"/>
        <v>0</v>
      </c>
      <c r="R73" s="480">
        <f t="shared" si="128"/>
        <v>0</v>
      </c>
      <c r="S73" s="480">
        <f t="shared" si="128"/>
        <v>0</v>
      </c>
      <c r="T73" s="480">
        <f t="shared" si="128"/>
        <v>0</v>
      </c>
      <c r="U73" s="480">
        <f t="shared" si="128"/>
        <v>0</v>
      </c>
      <c r="V73" s="480">
        <f t="shared" si="128"/>
        <v>0</v>
      </c>
      <c r="W73" s="480">
        <f t="shared" si="128"/>
        <v>0</v>
      </c>
      <c r="X73" s="480">
        <f t="shared" si="128"/>
        <v>0</v>
      </c>
      <c r="Y73" s="480">
        <f t="shared" si="128"/>
        <v>0</v>
      </c>
      <c r="Z73" s="480">
        <f t="shared" si="128"/>
        <v>0</v>
      </c>
      <c r="AA73" s="480">
        <f t="shared" si="128"/>
        <v>0</v>
      </c>
      <c r="AB73" s="480">
        <f t="shared" si="128"/>
        <v>0</v>
      </c>
      <c r="AC73" s="480">
        <f t="shared" si="128"/>
        <v>0</v>
      </c>
      <c r="AD73" s="480">
        <f t="shared" si="128"/>
        <v>0</v>
      </c>
      <c r="AE73" s="480">
        <f t="shared" si="128"/>
        <v>0</v>
      </c>
      <c r="AF73" s="480">
        <f t="shared" si="128"/>
        <v>0</v>
      </c>
      <c r="AG73" s="480">
        <f t="shared" si="128"/>
        <v>0</v>
      </c>
      <c r="AH73" s="480">
        <f t="shared" si="128"/>
        <v>0</v>
      </c>
      <c r="AI73" s="480">
        <f t="shared" si="128"/>
        <v>0</v>
      </c>
      <c r="AJ73" s="480">
        <f t="shared" si="128"/>
        <v>0</v>
      </c>
      <c r="AK73" s="480">
        <f t="shared" si="128"/>
        <v>0</v>
      </c>
      <c r="AL73" s="481">
        <f t="shared" si="128"/>
        <v>0</v>
      </c>
    </row>
    <row r="74" spans="1:38">
      <c r="A74" s="306" t="s">
        <v>12</v>
      </c>
      <c r="B74" s="476" t="s">
        <v>21</v>
      </c>
      <c r="C74" s="474"/>
      <c r="D74" s="474"/>
      <c r="E74" s="474"/>
      <c r="F74" s="503">
        <f>NPV('Pre-conditions'!$B$8,I74:AL74)</f>
        <v>0</v>
      </c>
      <c r="G74" s="503"/>
      <c r="H74" s="504">
        <f t="shared" ref="H74:H75" si="129">SUM(I74:AH74)</f>
        <v>0</v>
      </c>
      <c r="I74" s="480">
        <f t="shared" ref="I74:AL74" si="130">IF(I$47&lt;=0,0,IF(I72&lt;=0,0,-I72*$F30))</f>
        <v>0</v>
      </c>
      <c r="J74" s="480">
        <f t="shared" si="130"/>
        <v>0</v>
      </c>
      <c r="K74" s="480">
        <f t="shared" si="130"/>
        <v>0</v>
      </c>
      <c r="L74" s="480">
        <f t="shared" si="130"/>
        <v>0</v>
      </c>
      <c r="M74" s="480">
        <f t="shared" si="130"/>
        <v>0</v>
      </c>
      <c r="N74" s="480">
        <f t="shared" si="130"/>
        <v>0</v>
      </c>
      <c r="O74" s="480">
        <f t="shared" si="130"/>
        <v>0</v>
      </c>
      <c r="P74" s="480">
        <f t="shared" si="130"/>
        <v>0</v>
      </c>
      <c r="Q74" s="480">
        <f t="shared" si="130"/>
        <v>0</v>
      </c>
      <c r="R74" s="480">
        <f t="shared" si="130"/>
        <v>0</v>
      </c>
      <c r="S74" s="480">
        <f t="shared" si="130"/>
        <v>0</v>
      </c>
      <c r="T74" s="480">
        <f t="shared" si="130"/>
        <v>0</v>
      </c>
      <c r="U74" s="480">
        <f t="shared" si="130"/>
        <v>0</v>
      </c>
      <c r="V74" s="480">
        <f t="shared" si="130"/>
        <v>0</v>
      </c>
      <c r="W74" s="480">
        <f t="shared" si="130"/>
        <v>0</v>
      </c>
      <c r="X74" s="480">
        <f t="shared" si="130"/>
        <v>0</v>
      </c>
      <c r="Y74" s="480">
        <f t="shared" si="130"/>
        <v>0</v>
      </c>
      <c r="Z74" s="480">
        <f t="shared" si="130"/>
        <v>0</v>
      </c>
      <c r="AA74" s="480">
        <f t="shared" si="130"/>
        <v>0</v>
      </c>
      <c r="AB74" s="480">
        <f t="shared" si="130"/>
        <v>0</v>
      </c>
      <c r="AC74" s="480">
        <f t="shared" si="130"/>
        <v>0</v>
      </c>
      <c r="AD74" s="480">
        <f t="shared" si="130"/>
        <v>0</v>
      </c>
      <c r="AE74" s="480">
        <f t="shared" si="130"/>
        <v>0</v>
      </c>
      <c r="AF74" s="480">
        <f t="shared" si="130"/>
        <v>0</v>
      </c>
      <c r="AG74" s="480">
        <f t="shared" si="130"/>
        <v>0</v>
      </c>
      <c r="AH74" s="480">
        <f t="shared" si="130"/>
        <v>0</v>
      </c>
      <c r="AI74" s="480">
        <f t="shared" si="130"/>
        <v>0</v>
      </c>
      <c r="AJ74" s="480">
        <f t="shared" si="130"/>
        <v>0</v>
      </c>
      <c r="AK74" s="480">
        <f t="shared" si="130"/>
        <v>0</v>
      </c>
      <c r="AL74" s="481">
        <f t="shared" si="130"/>
        <v>0</v>
      </c>
    </row>
    <row r="75" spans="1:38">
      <c r="A75" s="314" t="s">
        <v>13</v>
      </c>
      <c r="B75" s="482" t="s">
        <v>21</v>
      </c>
      <c r="C75" s="483"/>
      <c r="D75" s="483"/>
      <c r="E75" s="483"/>
      <c r="F75" s="512">
        <f>NPV('Pre-conditions'!$B$8,I75:AL75)</f>
        <v>0</v>
      </c>
      <c r="G75" s="512"/>
      <c r="H75" s="511">
        <f t="shared" si="129"/>
        <v>0</v>
      </c>
      <c r="I75" s="485">
        <f>ROUND(I73-I74,2)</f>
        <v>0</v>
      </c>
      <c r="J75" s="485">
        <f t="shared" ref="J75:AL75" si="131">ROUND(J73-J74,2)</f>
        <v>0</v>
      </c>
      <c r="K75" s="485">
        <f t="shared" si="131"/>
        <v>0</v>
      </c>
      <c r="L75" s="485">
        <f t="shared" si="131"/>
        <v>0</v>
      </c>
      <c r="M75" s="485">
        <f t="shared" si="131"/>
        <v>0</v>
      </c>
      <c r="N75" s="485">
        <f t="shared" si="131"/>
        <v>0</v>
      </c>
      <c r="O75" s="485">
        <f t="shared" si="131"/>
        <v>0</v>
      </c>
      <c r="P75" s="485">
        <f t="shared" si="131"/>
        <v>0</v>
      </c>
      <c r="Q75" s="485">
        <f t="shared" si="131"/>
        <v>0</v>
      </c>
      <c r="R75" s="485">
        <f t="shared" si="131"/>
        <v>0</v>
      </c>
      <c r="S75" s="485">
        <f t="shared" si="131"/>
        <v>0</v>
      </c>
      <c r="T75" s="485">
        <f t="shared" si="131"/>
        <v>0</v>
      </c>
      <c r="U75" s="485">
        <f t="shared" si="131"/>
        <v>0</v>
      </c>
      <c r="V75" s="485">
        <f t="shared" si="131"/>
        <v>0</v>
      </c>
      <c r="W75" s="485">
        <f t="shared" si="131"/>
        <v>0</v>
      </c>
      <c r="X75" s="485">
        <f t="shared" si="131"/>
        <v>0</v>
      </c>
      <c r="Y75" s="485">
        <f t="shared" si="131"/>
        <v>0</v>
      </c>
      <c r="Z75" s="485">
        <f t="shared" si="131"/>
        <v>0</v>
      </c>
      <c r="AA75" s="485">
        <f t="shared" si="131"/>
        <v>0</v>
      </c>
      <c r="AB75" s="485">
        <f t="shared" si="131"/>
        <v>0</v>
      </c>
      <c r="AC75" s="485">
        <f t="shared" si="131"/>
        <v>0</v>
      </c>
      <c r="AD75" s="485">
        <f t="shared" si="131"/>
        <v>0</v>
      </c>
      <c r="AE75" s="485">
        <f t="shared" si="131"/>
        <v>0</v>
      </c>
      <c r="AF75" s="485">
        <f t="shared" si="131"/>
        <v>0</v>
      </c>
      <c r="AG75" s="485">
        <f t="shared" si="131"/>
        <v>0</v>
      </c>
      <c r="AH75" s="485">
        <f t="shared" si="131"/>
        <v>0</v>
      </c>
      <c r="AI75" s="485">
        <f t="shared" si="131"/>
        <v>0</v>
      </c>
      <c r="AJ75" s="485">
        <f t="shared" si="131"/>
        <v>0</v>
      </c>
      <c r="AK75" s="485">
        <f t="shared" si="131"/>
        <v>0</v>
      </c>
      <c r="AL75" s="486">
        <f t="shared" si="131"/>
        <v>0</v>
      </c>
    </row>
    <row r="76" spans="1:38">
      <c r="A76" s="300" t="str">
        <f>A15</f>
        <v>Supplier NN</v>
      </c>
      <c r="B76" s="476"/>
      <c r="C76" s="474"/>
      <c r="D76" s="474"/>
      <c r="E76" s="474"/>
      <c r="F76" s="475"/>
      <c r="G76" s="475"/>
      <c r="H76" s="504"/>
      <c r="I76" s="480"/>
      <c r="J76" s="480"/>
      <c r="K76" s="480"/>
      <c r="L76" s="480"/>
      <c r="M76" s="480"/>
      <c r="N76" s="480"/>
      <c r="O76" s="480"/>
      <c r="P76" s="480"/>
      <c r="Q76" s="480"/>
      <c r="R76" s="480"/>
      <c r="S76" s="480"/>
      <c r="T76" s="480"/>
      <c r="U76" s="480"/>
      <c r="V76" s="480"/>
      <c r="W76" s="480"/>
      <c r="X76" s="480"/>
      <c r="Y76" s="480"/>
      <c r="Z76" s="480"/>
      <c r="AA76" s="480"/>
      <c r="AB76" s="480"/>
      <c r="AC76" s="480"/>
      <c r="AD76" s="480"/>
      <c r="AE76" s="480"/>
      <c r="AF76" s="480"/>
      <c r="AG76" s="480"/>
      <c r="AH76" s="480"/>
      <c r="AI76" s="480"/>
      <c r="AJ76" s="480"/>
      <c r="AK76" s="480"/>
      <c r="AL76" s="481"/>
    </row>
    <row r="77" spans="1:38" hidden="1">
      <c r="A77" s="494" t="s">
        <v>62</v>
      </c>
      <c r="B77" s="495"/>
      <c r="C77" s="496"/>
      <c r="D77" s="496"/>
      <c r="E77" s="496"/>
      <c r="F77" s="497"/>
      <c r="G77" s="497"/>
      <c r="H77" s="497"/>
      <c r="I77" s="499">
        <f t="shared" ref="I77" si="132">(ROUND(I78+I81,2))</f>
        <v>0</v>
      </c>
      <c r="J77" s="499">
        <f t="shared" ref="J77" si="133">(ROUND(J78+J81,2))</f>
        <v>0.41</v>
      </c>
      <c r="K77" s="499">
        <f t="shared" ref="K77" si="134">(ROUND(K78+K81,2))</f>
        <v>1.01</v>
      </c>
      <c r="L77" s="499">
        <f t="shared" ref="L77" si="135">(ROUND(L78+L81,2))</f>
        <v>0.84</v>
      </c>
      <c r="M77" s="499">
        <f t="shared" ref="M77" si="136">(ROUND(M78+M81,2))</f>
        <v>0.66</v>
      </c>
      <c r="N77" s="499">
        <f t="shared" ref="N77" si="137">(ROUND(N78+N81,2))</f>
        <v>0.46</v>
      </c>
      <c r="O77" s="499">
        <f t="shared" ref="O77" si="138">(ROUND(O78+O81,2))</f>
        <v>0.24</v>
      </c>
      <c r="P77" s="499">
        <f t="shared" ref="P77" si="139">(ROUND(P78+P81,2))</f>
        <v>0.01</v>
      </c>
      <c r="Q77" s="499">
        <f t="shared" ref="Q77" si="140">(ROUND(Q78+Q81,2))</f>
        <v>-0.24</v>
      </c>
      <c r="R77" s="499">
        <f t="shared" ref="R77" si="141">(ROUND(R78+R81,2))</f>
        <v>0</v>
      </c>
      <c r="S77" s="499">
        <f t="shared" ref="S77" si="142">(ROUND(S78+S81,2))</f>
        <v>0</v>
      </c>
      <c r="T77" s="499">
        <f t="shared" ref="T77" si="143">(ROUND(T78+T81,2))</f>
        <v>0</v>
      </c>
      <c r="U77" s="499">
        <f t="shared" ref="U77" si="144">(ROUND(U78+U81,2))</f>
        <v>0</v>
      </c>
      <c r="V77" s="499">
        <f t="shared" ref="V77" si="145">(ROUND(V78+V81,2))</f>
        <v>0</v>
      </c>
      <c r="W77" s="499">
        <f t="shared" ref="W77" si="146">(ROUND(W78+W81,2))</f>
        <v>0</v>
      </c>
      <c r="X77" s="499">
        <f t="shared" ref="X77" si="147">(ROUND(X78+X81,2))</f>
        <v>0</v>
      </c>
      <c r="Y77" s="499">
        <f t="shared" ref="Y77" si="148">(ROUND(Y78+Y81,2))</f>
        <v>0</v>
      </c>
      <c r="Z77" s="499">
        <f t="shared" ref="Z77" si="149">(ROUND(Z78+Z81,2))</f>
        <v>0</v>
      </c>
      <c r="AA77" s="499">
        <f t="shared" ref="AA77" si="150">(ROUND(AA78+AA81,2))</f>
        <v>0</v>
      </c>
      <c r="AB77" s="499">
        <f t="shared" ref="AB77" si="151">(ROUND(AB78+AB81,2))</f>
        <v>0</v>
      </c>
      <c r="AC77" s="499">
        <f t="shared" ref="AC77" si="152">(ROUND(AC78+AC81,2))</f>
        <v>0</v>
      </c>
      <c r="AD77" s="499">
        <f t="shared" ref="AD77" si="153">(ROUND(AD78+AD81,2))</f>
        <v>0</v>
      </c>
      <c r="AE77" s="499">
        <f t="shared" ref="AE77" si="154">(ROUND(AE78+AE81,2))</f>
        <v>0</v>
      </c>
      <c r="AF77" s="499">
        <f t="shared" ref="AF77" si="155">(ROUND(AF78+AF81,2))</f>
        <v>0</v>
      </c>
      <c r="AG77" s="499">
        <f t="shared" ref="AG77" si="156">(ROUND(AG78+AG81,2))</f>
        <v>0</v>
      </c>
      <c r="AH77" s="499">
        <f t="shared" ref="AH77" si="157">(ROUND(AH78+AH81,2))</f>
        <v>0</v>
      </c>
      <c r="AI77" s="499">
        <f t="shared" ref="AI77" si="158">(ROUND(AI78+AI81,2))</f>
        <v>0</v>
      </c>
      <c r="AJ77" s="499">
        <f t="shared" ref="AJ77" si="159">(ROUND(AJ78+AJ81,2))</f>
        <v>0</v>
      </c>
      <c r="AK77" s="499">
        <f t="shared" ref="AK77" si="160">(ROUND(AK78+AK81,2))</f>
        <v>0</v>
      </c>
      <c r="AL77" s="500">
        <f t="shared" ref="AL77" si="161">(ROUND(AL78+AL81,2))</f>
        <v>0</v>
      </c>
    </row>
    <row r="78" spans="1:38">
      <c r="A78" s="306" t="s">
        <v>11</v>
      </c>
      <c r="B78" s="476" t="s">
        <v>21</v>
      </c>
      <c r="C78" s="474"/>
      <c r="D78" s="474"/>
      <c r="E78" s="474"/>
      <c r="F78" s="501"/>
      <c r="G78" s="501"/>
      <c r="H78" s="513"/>
      <c r="I78" s="480">
        <f>IF(I31=0,0, I31)</f>
        <v>0</v>
      </c>
      <c r="J78" s="480">
        <f t="shared" ref="J78:AL78" si="162">IF(I78+J31+I81&lt;0,0,ROUND(I78+J31+I81,2))</f>
        <v>0.41</v>
      </c>
      <c r="K78" s="480">
        <f t="shared" si="162"/>
        <v>1.01</v>
      </c>
      <c r="L78" s="480">
        <f t="shared" si="162"/>
        <v>1.01</v>
      </c>
      <c r="M78" s="480">
        <f t="shared" si="162"/>
        <v>0.84</v>
      </c>
      <c r="N78" s="480">
        <f t="shared" si="162"/>
        <v>0.66</v>
      </c>
      <c r="O78" s="480">
        <f t="shared" si="162"/>
        <v>0.46</v>
      </c>
      <c r="P78" s="480">
        <f t="shared" si="162"/>
        <v>0.24</v>
      </c>
      <c r="Q78" s="480">
        <f t="shared" si="162"/>
        <v>0.01</v>
      </c>
      <c r="R78" s="480">
        <f t="shared" si="162"/>
        <v>0</v>
      </c>
      <c r="S78" s="480">
        <f t="shared" si="162"/>
        <v>0</v>
      </c>
      <c r="T78" s="480">
        <f t="shared" si="162"/>
        <v>0</v>
      </c>
      <c r="U78" s="480">
        <f t="shared" si="162"/>
        <v>0</v>
      </c>
      <c r="V78" s="480">
        <f t="shared" si="162"/>
        <v>0</v>
      </c>
      <c r="W78" s="480">
        <f t="shared" si="162"/>
        <v>0</v>
      </c>
      <c r="X78" s="480">
        <f t="shared" si="162"/>
        <v>0</v>
      </c>
      <c r="Y78" s="480">
        <f t="shared" si="162"/>
        <v>0</v>
      </c>
      <c r="Z78" s="480">
        <f t="shared" si="162"/>
        <v>0</v>
      </c>
      <c r="AA78" s="480">
        <f t="shared" si="162"/>
        <v>0</v>
      </c>
      <c r="AB78" s="480">
        <f t="shared" si="162"/>
        <v>0</v>
      </c>
      <c r="AC78" s="480">
        <f t="shared" si="162"/>
        <v>0</v>
      </c>
      <c r="AD78" s="480">
        <f t="shared" si="162"/>
        <v>0</v>
      </c>
      <c r="AE78" s="480">
        <f t="shared" si="162"/>
        <v>0</v>
      </c>
      <c r="AF78" s="480">
        <f t="shared" si="162"/>
        <v>0</v>
      </c>
      <c r="AG78" s="480">
        <f t="shared" si="162"/>
        <v>0</v>
      </c>
      <c r="AH78" s="480">
        <f t="shared" si="162"/>
        <v>0</v>
      </c>
      <c r="AI78" s="480">
        <f t="shared" si="162"/>
        <v>0</v>
      </c>
      <c r="AJ78" s="480">
        <f t="shared" si="162"/>
        <v>0</v>
      </c>
      <c r="AK78" s="480">
        <f t="shared" si="162"/>
        <v>0</v>
      </c>
      <c r="AL78" s="481">
        <f t="shared" si="162"/>
        <v>0</v>
      </c>
    </row>
    <row r="79" spans="1:38">
      <c r="A79" s="306" t="s">
        <v>61</v>
      </c>
      <c r="B79" s="476" t="s">
        <v>21</v>
      </c>
      <c r="C79" s="474"/>
      <c r="D79" s="474"/>
      <c r="E79" s="474"/>
      <c r="F79" s="503">
        <f>NPV('Pre-conditions'!$B$8,I79:AL79)</f>
        <v>-1.0508608198962333</v>
      </c>
      <c r="G79" s="503"/>
      <c r="H79" s="504">
        <f>SUM(I79:AH79)</f>
        <v>-1.5271622947265737</v>
      </c>
      <c r="I79" s="480">
        <f t="shared" ref="I79:AL79" si="163">IF(I$48=0,0,IF(I78&lt;=0,0,IF(I31&lt;=0,PMT($F31,$E31,$H31,0),PMT($F31,$E31,I78,0))))</f>
        <v>0</v>
      </c>
      <c r="J79" s="480">
        <f t="shared" si="163"/>
        <v>0</v>
      </c>
      <c r="K79" s="480">
        <f t="shared" si="163"/>
        <v>0</v>
      </c>
      <c r="L79" s="480">
        <f t="shared" si="163"/>
        <v>-0.25452704912109564</v>
      </c>
      <c r="M79" s="480">
        <f t="shared" si="163"/>
        <v>-0.25452704912109564</v>
      </c>
      <c r="N79" s="480">
        <f t="shared" si="163"/>
        <v>-0.25452704912109564</v>
      </c>
      <c r="O79" s="480">
        <f t="shared" si="163"/>
        <v>-0.25452704912109564</v>
      </c>
      <c r="P79" s="480">
        <f t="shared" si="163"/>
        <v>-0.25452704912109564</v>
      </c>
      <c r="Q79" s="480">
        <f t="shared" si="163"/>
        <v>-0.25452704912109564</v>
      </c>
      <c r="R79" s="480">
        <f t="shared" si="163"/>
        <v>0</v>
      </c>
      <c r="S79" s="480">
        <f t="shared" si="163"/>
        <v>0</v>
      </c>
      <c r="T79" s="480">
        <f t="shared" si="163"/>
        <v>0</v>
      </c>
      <c r="U79" s="480">
        <f t="shared" si="163"/>
        <v>0</v>
      </c>
      <c r="V79" s="480">
        <f t="shared" si="163"/>
        <v>0</v>
      </c>
      <c r="W79" s="480">
        <f t="shared" si="163"/>
        <v>0</v>
      </c>
      <c r="X79" s="480">
        <f t="shared" si="163"/>
        <v>0</v>
      </c>
      <c r="Y79" s="480">
        <f t="shared" si="163"/>
        <v>0</v>
      </c>
      <c r="Z79" s="480">
        <f t="shared" si="163"/>
        <v>0</v>
      </c>
      <c r="AA79" s="480">
        <f t="shared" si="163"/>
        <v>0</v>
      </c>
      <c r="AB79" s="480">
        <f t="shared" si="163"/>
        <v>0</v>
      </c>
      <c r="AC79" s="480">
        <f t="shared" si="163"/>
        <v>0</v>
      </c>
      <c r="AD79" s="480">
        <f t="shared" si="163"/>
        <v>0</v>
      </c>
      <c r="AE79" s="480">
        <f t="shared" si="163"/>
        <v>0</v>
      </c>
      <c r="AF79" s="480">
        <f t="shared" si="163"/>
        <v>0</v>
      </c>
      <c r="AG79" s="480">
        <f t="shared" si="163"/>
        <v>0</v>
      </c>
      <c r="AH79" s="480">
        <f t="shared" si="163"/>
        <v>0</v>
      </c>
      <c r="AI79" s="480">
        <f t="shared" si="163"/>
        <v>0</v>
      </c>
      <c r="AJ79" s="480">
        <f t="shared" si="163"/>
        <v>0</v>
      </c>
      <c r="AK79" s="480">
        <f t="shared" si="163"/>
        <v>0</v>
      </c>
      <c r="AL79" s="481">
        <f t="shared" si="163"/>
        <v>0</v>
      </c>
    </row>
    <row r="80" spans="1:38">
      <c r="A80" s="306" t="s">
        <v>12</v>
      </c>
      <c r="B80" s="476" t="s">
        <v>21</v>
      </c>
      <c r="C80" s="474"/>
      <c r="D80" s="474"/>
      <c r="E80" s="474"/>
      <c r="F80" s="503">
        <f>NPV('Pre-conditions'!$B$8,I80:AL80)</f>
        <v>-0.20020982006229346</v>
      </c>
      <c r="G80" s="503"/>
      <c r="H80" s="504">
        <f t="shared" ref="H80:H81" si="164">SUM(I80:AH80)</f>
        <v>-0.27370000000000005</v>
      </c>
      <c r="I80" s="480">
        <f t="shared" ref="I80:AL80" si="165">IF(I$48&lt;=0,0,IF(I78&lt;=0,0,-I78*$F31))</f>
        <v>0</v>
      </c>
      <c r="J80" s="480">
        <f t="shared" si="165"/>
        <v>0</v>
      </c>
      <c r="K80" s="480">
        <f t="shared" si="165"/>
        <v>0</v>
      </c>
      <c r="L80" s="480">
        <f t="shared" si="165"/>
        <v>-8.585000000000001E-2</v>
      </c>
      <c r="M80" s="480">
        <f t="shared" si="165"/>
        <v>-7.1400000000000005E-2</v>
      </c>
      <c r="N80" s="480">
        <f t="shared" si="165"/>
        <v>-5.6100000000000004E-2</v>
      </c>
      <c r="O80" s="480">
        <f t="shared" si="165"/>
        <v>-3.9100000000000003E-2</v>
      </c>
      <c r="P80" s="480">
        <f t="shared" si="165"/>
        <v>-2.0400000000000001E-2</v>
      </c>
      <c r="Q80" s="480">
        <f t="shared" si="165"/>
        <v>-8.5000000000000006E-4</v>
      </c>
      <c r="R80" s="480">
        <f t="shared" si="165"/>
        <v>0</v>
      </c>
      <c r="S80" s="480">
        <f t="shared" si="165"/>
        <v>0</v>
      </c>
      <c r="T80" s="480">
        <f t="shared" si="165"/>
        <v>0</v>
      </c>
      <c r="U80" s="480">
        <f t="shared" si="165"/>
        <v>0</v>
      </c>
      <c r="V80" s="480">
        <f t="shared" si="165"/>
        <v>0</v>
      </c>
      <c r="W80" s="480">
        <f t="shared" si="165"/>
        <v>0</v>
      </c>
      <c r="X80" s="480">
        <f t="shared" si="165"/>
        <v>0</v>
      </c>
      <c r="Y80" s="480">
        <f t="shared" si="165"/>
        <v>0</v>
      </c>
      <c r="Z80" s="480">
        <f t="shared" si="165"/>
        <v>0</v>
      </c>
      <c r="AA80" s="480">
        <f t="shared" si="165"/>
        <v>0</v>
      </c>
      <c r="AB80" s="480">
        <f t="shared" si="165"/>
        <v>0</v>
      </c>
      <c r="AC80" s="480">
        <f t="shared" si="165"/>
        <v>0</v>
      </c>
      <c r="AD80" s="480">
        <f t="shared" si="165"/>
        <v>0</v>
      </c>
      <c r="AE80" s="480">
        <f t="shared" si="165"/>
        <v>0</v>
      </c>
      <c r="AF80" s="480">
        <f t="shared" si="165"/>
        <v>0</v>
      </c>
      <c r="AG80" s="480">
        <f t="shared" si="165"/>
        <v>0</v>
      </c>
      <c r="AH80" s="480">
        <f t="shared" si="165"/>
        <v>0</v>
      </c>
      <c r="AI80" s="480">
        <f t="shared" si="165"/>
        <v>0</v>
      </c>
      <c r="AJ80" s="480">
        <f t="shared" si="165"/>
        <v>0</v>
      </c>
      <c r="AK80" s="480">
        <f t="shared" si="165"/>
        <v>0</v>
      </c>
      <c r="AL80" s="481">
        <f t="shared" si="165"/>
        <v>0</v>
      </c>
    </row>
    <row r="81" spans="1:38">
      <c r="A81" s="314" t="s">
        <v>13</v>
      </c>
      <c r="B81" s="482" t="s">
        <v>21</v>
      </c>
      <c r="C81" s="474"/>
      <c r="D81" s="474"/>
      <c r="E81" s="474"/>
      <c r="F81" s="503">
        <f>NPV('Pre-conditions'!$B$8,I81:AL81)</f>
        <v>-0.84874652824232932</v>
      </c>
      <c r="G81" s="503"/>
      <c r="H81" s="511">
        <f t="shared" si="164"/>
        <v>-1.25</v>
      </c>
      <c r="I81" s="485">
        <f>ROUND(I79-I80,2)</f>
        <v>0</v>
      </c>
      <c r="J81" s="485">
        <f t="shared" ref="J81:AL81" si="166">ROUND(J79-J80,2)</f>
        <v>0</v>
      </c>
      <c r="K81" s="485">
        <f t="shared" si="166"/>
        <v>0</v>
      </c>
      <c r="L81" s="485">
        <f>ROUND(L79-L80,2)</f>
        <v>-0.17</v>
      </c>
      <c r="M81" s="485">
        <f t="shared" si="166"/>
        <v>-0.18</v>
      </c>
      <c r="N81" s="485">
        <f t="shared" si="166"/>
        <v>-0.2</v>
      </c>
      <c r="O81" s="485">
        <f t="shared" si="166"/>
        <v>-0.22</v>
      </c>
      <c r="P81" s="485">
        <f t="shared" si="166"/>
        <v>-0.23</v>
      </c>
      <c r="Q81" s="485">
        <f t="shared" si="166"/>
        <v>-0.25</v>
      </c>
      <c r="R81" s="485">
        <f t="shared" si="166"/>
        <v>0</v>
      </c>
      <c r="S81" s="485">
        <f t="shared" si="166"/>
        <v>0</v>
      </c>
      <c r="T81" s="485">
        <f t="shared" si="166"/>
        <v>0</v>
      </c>
      <c r="U81" s="485">
        <f t="shared" si="166"/>
        <v>0</v>
      </c>
      <c r="V81" s="485">
        <f t="shared" si="166"/>
        <v>0</v>
      </c>
      <c r="W81" s="485">
        <f t="shared" si="166"/>
        <v>0</v>
      </c>
      <c r="X81" s="485">
        <f t="shared" si="166"/>
        <v>0</v>
      </c>
      <c r="Y81" s="485">
        <f t="shared" si="166"/>
        <v>0</v>
      </c>
      <c r="Z81" s="485">
        <f t="shared" si="166"/>
        <v>0</v>
      </c>
      <c r="AA81" s="485">
        <f t="shared" si="166"/>
        <v>0</v>
      </c>
      <c r="AB81" s="485">
        <f t="shared" si="166"/>
        <v>0</v>
      </c>
      <c r="AC81" s="485">
        <f t="shared" si="166"/>
        <v>0</v>
      </c>
      <c r="AD81" s="485">
        <f t="shared" si="166"/>
        <v>0</v>
      </c>
      <c r="AE81" s="485">
        <f t="shared" si="166"/>
        <v>0</v>
      </c>
      <c r="AF81" s="485">
        <f t="shared" si="166"/>
        <v>0</v>
      </c>
      <c r="AG81" s="485">
        <f t="shared" si="166"/>
        <v>0</v>
      </c>
      <c r="AH81" s="485">
        <f t="shared" si="166"/>
        <v>0</v>
      </c>
      <c r="AI81" s="485">
        <f t="shared" si="166"/>
        <v>0</v>
      </c>
      <c r="AJ81" s="485">
        <f t="shared" si="166"/>
        <v>0</v>
      </c>
      <c r="AK81" s="485">
        <f t="shared" si="166"/>
        <v>0</v>
      </c>
      <c r="AL81" s="486">
        <f t="shared" si="166"/>
        <v>0</v>
      </c>
    </row>
    <row r="82" spans="1:38">
      <c r="A82" s="300" t="str">
        <f>A16</f>
        <v>Mezzanine loan</v>
      </c>
      <c r="B82" s="488"/>
      <c r="C82" s="472"/>
      <c r="D82" s="472"/>
      <c r="E82" s="472"/>
      <c r="F82" s="473"/>
      <c r="G82" s="473"/>
      <c r="H82" s="473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11"/>
    </row>
    <row r="83" spans="1:38" hidden="1">
      <c r="A83" s="494" t="s">
        <v>62</v>
      </c>
      <c r="B83" s="495"/>
      <c r="C83" s="496"/>
      <c r="D83" s="496"/>
      <c r="E83" s="496"/>
      <c r="F83" s="497"/>
      <c r="G83" s="497"/>
      <c r="H83" s="497"/>
      <c r="I83" s="499">
        <f t="shared" ref="I83" si="167">(ROUND(I84+I87,2))</f>
        <v>0</v>
      </c>
      <c r="J83" s="499">
        <f t="shared" ref="J83" si="168">(ROUND(J84+J87,2))</f>
        <v>0.5</v>
      </c>
      <c r="K83" s="499">
        <f t="shared" ref="K83" si="169">(ROUND(K84+K87,2))</f>
        <v>0.97</v>
      </c>
      <c r="L83" s="499">
        <f t="shared" ref="L83" si="170">(ROUND(L84+L87,2))</f>
        <v>0.86</v>
      </c>
      <c r="M83" s="499">
        <f t="shared" ref="M83" si="171">(ROUND(M84+M87,2))</f>
        <v>0.74</v>
      </c>
      <c r="N83" s="499">
        <f t="shared" ref="N83" si="172">(ROUND(N84+N87,2))</f>
        <v>0.61</v>
      </c>
      <c r="O83" s="499">
        <f t="shared" ref="O83" si="173">(ROUND(O84+O87,2))</f>
        <v>0.47</v>
      </c>
      <c r="P83" s="499">
        <f t="shared" ref="P83" si="174">(ROUND(P84+P87,2))</f>
        <v>0.32</v>
      </c>
      <c r="Q83" s="499">
        <f t="shared" ref="Q83" si="175">(ROUND(Q84+Q87,2))</f>
        <v>0.16</v>
      </c>
      <c r="R83" s="499">
        <f t="shared" ref="R83" si="176">(ROUND(R84+R87,2))</f>
        <v>-0.01</v>
      </c>
      <c r="S83" s="499">
        <f t="shared" ref="S83" si="177">(ROUND(S84+S87,2))</f>
        <v>-0.01</v>
      </c>
      <c r="T83" s="499">
        <f t="shared" ref="T83" si="178">(ROUND(T84+T87,2))</f>
        <v>-0.01</v>
      </c>
      <c r="U83" s="499">
        <f t="shared" ref="U83" si="179">(ROUND(U84+U87,2))</f>
        <v>-0.01</v>
      </c>
      <c r="V83" s="499">
        <f t="shared" ref="V83" si="180">(ROUND(V84+V87,2))</f>
        <v>-0.01</v>
      </c>
      <c r="W83" s="499">
        <f t="shared" ref="W83" si="181">(ROUND(W84+W87,2))</f>
        <v>-0.01</v>
      </c>
      <c r="X83" s="499">
        <f t="shared" ref="X83" si="182">(ROUND(X84+X87,2))</f>
        <v>-0.01</v>
      </c>
      <c r="Y83" s="499">
        <f t="shared" ref="Y83" si="183">(ROUND(Y84+Y87,2))</f>
        <v>-0.01</v>
      </c>
      <c r="Z83" s="499">
        <f t="shared" ref="Z83" si="184">(ROUND(Z84+Z87,2))</f>
        <v>-0.01</v>
      </c>
      <c r="AA83" s="499">
        <f t="shared" ref="AA83" si="185">(ROUND(AA84+AA87,2))</f>
        <v>-0.01</v>
      </c>
      <c r="AB83" s="499">
        <f t="shared" ref="AB83" si="186">(ROUND(AB84+AB87,2))</f>
        <v>-0.01</v>
      </c>
      <c r="AC83" s="499">
        <f t="shared" ref="AC83" si="187">(ROUND(AC84+AC87,2))</f>
        <v>-0.01</v>
      </c>
      <c r="AD83" s="499">
        <f t="shared" ref="AD83" si="188">(ROUND(AD84+AD87,2))</f>
        <v>-0.01</v>
      </c>
      <c r="AE83" s="499">
        <f t="shared" ref="AE83" si="189">(ROUND(AE84+AE87,2))</f>
        <v>-0.01</v>
      </c>
      <c r="AF83" s="499">
        <f t="shared" ref="AF83" si="190">(ROUND(AF84+AF87,2))</f>
        <v>-0.01</v>
      </c>
      <c r="AG83" s="499">
        <f t="shared" ref="AG83" si="191">(ROUND(AG84+AG87,2))</f>
        <v>-0.01</v>
      </c>
      <c r="AH83" s="499">
        <f t="shared" ref="AH83" si="192">(ROUND(AH84+AH87,2))</f>
        <v>-0.01</v>
      </c>
      <c r="AI83" s="499">
        <f t="shared" ref="AI83" si="193">(ROUND(AI84+AI87,2))</f>
        <v>-0.01</v>
      </c>
      <c r="AJ83" s="499">
        <f t="shared" ref="AJ83" si="194">(ROUND(AJ84+AJ87,2))</f>
        <v>-0.01</v>
      </c>
      <c r="AK83" s="499">
        <f t="shared" ref="AK83" si="195">(ROUND(AK84+AK87,2))</f>
        <v>-0.01</v>
      </c>
      <c r="AL83" s="500">
        <f t="shared" ref="AL83" si="196">(ROUND(AL84+AL87,2))</f>
        <v>-0.01</v>
      </c>
    </row>
    <row r="84" spans="1:38">
      <c r="A84" s="306" t="s">
        <v>11</v>
      </c>
      <c r="B84" s="476" t="s">
        <v>21</v>
      </c>
      <c r="C84" s="474"/>
      <c r="D84" s="474"/>
      <c r="E84" s="474"/>
      <c r="F84" s="501"/>
      <c r="G84" s="501"/>
      <c r="H84" s="510"/>
      <c r="I84" s="480">
        <f>IF(I32=0,0, I32)</f>
        <v>0</v>
      </c>
      <c r="J84" s="480">
        <f>IF(I84+J32+I87&lt;0,0,ROUND(I84+J32+I87,2))</f>
        <v>0.5</v>
      </c>
      <c r="K84" s="480">
        <f t="shared" ref="K84:AL84" si="197">ROUND(J84+K32+J87,2)</f>
        <v>1.07</v>
      </c>
      <c r="L84" s="480">
        <f t="shared" si="197"/>
        <v>0.97</v>
      </c>
      <c r="M84" s="480">
        <f t="shared" si="197"/>
        <v>0.86</v>
      </c>
      <c r="N84" s="480">
        <f t="shared" si="197"/>
        <v>0.74</v>
      </c>
      <c r="O84" s="480">
        <f t="shared" si="197"/>
        <v>0.61</v>
      </c>
      <c r="P84" s="480">
        <f t="shared" si="197"/>
        <v>0.47</v>
      </c>
      <c r="Q84" s="480">
        <f t="shared" si="197"/>
        <v>0.32</v>
      </c>
      <c r="R84" s="480">
        <f t="shared" si="197"/>
        <v>0.16</v>
      </c>
      <c r="S84" s="480">
        <f t="shared" si="197"/>
        <v>-0.01</v>
      </c>
      <c r="T84" s="480">
        <f t="shared" si="197"/>
        <v>-0.01</v>
      </c>
      <c r="U84" s="480">
        <f t="shared" si="197"/>
        <v>-0.01</v>
      </c>
      <c r="V84" s="480">
        <f t="shared" si="197"/>
        <v>-0.01</v>
      </c>
      <c r="W84" s="480">
        <f t="shared" si="197"/>
        <v>-0.01</v>
      </c>
      <c r="X84" s="480">
        <f t="shared" si="197"/>
        <v>-0.01</v>
      </c>
      <c r="Y84" s="480">
        <f t="shared" si="197"/>
        <v>-0.01</v>
      </c>
      <c r="Z84" s="480">
        <f t="shared" si="197"/>
        <v>-0.01</v>
      </c>
      <c r="AA84" s="480">
        <f t="shared" si="197"/>
        <v>-0.01</v>
      </c>
      <c r="AB84" s="480">
        <f t="shared" si="197"/>
        <v>-0.01</v>
      </c>
      <c r="AC84" s="480">
        <f t="shared" si="197"/>
        <v>-0.01</v>
      </c>
      <c r="AD84" s="480">
        <f t="shared" si="197"/>
        <v>-0.01</v>
      </c>
      <c r="AE84" s="480">
        <f t="shared" si="197"/>
        <v>-0.01</v>
      </c>
      <c r="AF84" s="480">
        <f t="shared" si="197"/>
        <v>-0.01</v>
      </c>
      <c r="AG84" s="480">
        <f t="shared" si="197"/>
        <v>-0.01</v>
      </c>
      <c r="AH84" s="480">
        <f t="shared" si="197"/>
        <v>-0.01</v>
      </c>
      <c r="AI84" s="480">
        <f t="shared" si="197"/>
        <v>-0.01</v>
      </c>
      <c r="AJ84" s="480">
        <f t="shared" si="197"/>
        <v>-0.01</v>
      </c>
      <c r="AK84" s="480">
        <f t="shared" si="197"/>
        <v>-0.01</v>
      </c>
      <c r="AL84" s="481">
        <f t="shared" si="197"/>
        <v>-0.01</v>
      </c>
    </row>
    <row r="85" spans="1:38">
      <c r="A85" s="306" t="s">
        <v>61</v>
      </c>
      <c r="B85" s="476" t="s">
        <v>21</v>
      </c>
      <c r="C85" s="474"/>
      <c r="D85" s="474"/>
      <c r="E85" s="474"/>
      <c r="F85" s="503">
        <f>NPV('Pre-conditions'!$B$8,I85:AL85)</f>
        <v>-1.0249691470274018</v>
      </c>
      <c r="G85" s="503"/>
      <c r="H85" s="504">
        <f>SUM(I85:AH85)</f>
        <v>-1.483475834045284</v>
      </c>
      <c r="I85" s="480">
        <f t="shared" ref="I85:AL85" si="198">IF(I$49=0,0,IF(I84&lt;=0,0,IF(I32&lt;=0,PMT($F32,$E32,$H32,0),PMT($F32,$E32,I84,0))))</f>
        <v>0</v>
      </c>
      <c r="J85" s="480">
        <f t="shared" si="198"/>
        <v>0</v>
      </c>
      <c r="K85" s="480">
        <f t="shared" si="198"/>
        <v>-0.18619579383324975</v>
      </c>
      <c r="L85" s="480">
        <f t="shared" si="198"/>
        <v>-0.1853257200302906</v>
      </c>
      <c r="M85" s="480">
        <f t="shared" si="198"/>
        <v>-0.1853257200302906</v>
      </c>
      <c r="N85" s="480">
        <f t="shared" si="198"/>
        <v>-0.1853257200302906</v>
      </c>
      <c r="O85" s="480">
        <f t="shared" si="198"/>
        <v>-0.1853257200302906</v>
      </c>
      <c r="P85" s="480">
        <f t="shared" si="198"/>
        <v>-0.1853257200302906</v>
      </c>
      <c r="Q85" s="480">
        <f t="shared" si="198"/>
        <v>-0.1853257200302906</v>
      </c>
      <c r="R85" s="480">
        <f t="shared" si="198"/>
        <v>-0.1853257200302906</v>
      </c>
      <c r="S85" s="480">
        <f t="shared" si="198"/>
        <v>0</v>
      </c>
      <c r="T85" s="480">
        <f t="shared" si="198"/>
        <v>0</v>
      </c>
      <c r="U85" s="480">
        <f t="shared" si="198"/>
        <v>0</v>
      </c>
      <c r="V85" s="480">
        <f t="shared" si="198"/>
        <v>0</v>
      </c>
      <c r="W85" s="480">
        <f t="shared" si="198"/>
        <v>0</v>
      </c>
      <c r="X85" s="480">
        <f t="shared" si="198"/>
        <v>0</v>
      </c>
      <c r="Y85" s="480">
        <f t="shared" si="198"/>
        <v>0</v>
      </c>
      <c r="Z85" s="480">
        <f t="shared" si="198"/>
        <v>0</v>
      </c>
      <c r="AA85" s="480">
        <f t="shared" si="198"/>
        <v>0</v>
      </c>
      <c r="AB85" s="480">
        <f t="shared" si="198"/>
        <v>0</v>
      </c>
      <c r="AC85" s="480">
        <f t="shared" si="198"/>
        <v>0</v>
      </c>
      <c r="AD85" s="480">
        <f t="shared" si="198"/>
        <v>0</v>
      </c>
      <c r="AE85" s="480">
        <f t="shared" si="198"/>
        <v>0</v>
      </c>
      <c r="AF85" s="480">
        <f t="shared" si="198"/>
        <v>0</v>
      </c>
      <c r="AG85" s="480">
        <f t="shared" si="198"/>
        <v>0</v>
      </c>
      <c r="AH85" s="480">
        <f t="shared" si="198"/>
        <v>0</v>
      </c>
      <c r="AI85" s="480">
        <f t="shared" si="198"/>
        <v>0</v>
      </c>
      <c r="AJ85" s="480">
        <f t="shared" si="198"/>
        <v>0</v>
      </c>
      <c r="AK85" s="480">
        <f t="shared" si="198"/>
        <v>0</v>
      </c>
      <c r="AL85" s="481">
        <f t="shared" si="198"/>
        <v>0</v>
      </c>
    </row>
    <row r="86" spans="1:38">
      <c r="A86" s="306" t="s">
        <v>12</v>
      </c>
      <c r="B86" s="476" t="s">
        <v>21</v>
      </c>
      <c r="C86" s="474"/>
      <c r="D86" s="474"/>
      <c r="E86" s="474"/>
      <c r="F86" s="503">
        <f>NPV('Pre-conditions'!$B$8,I86:AL86)</f>
        <v>-0.30482845130015368</v>
      </c>
      <c r="G86" s="503"/>
      <c r="H86" s="504">
        <f t="shared" ref="H86:H87" si="199">SUM(I86:AH86)</f>
        <v>-0.41600000000000004</v>
      </c>
      <c r="I86" s="480">
        <f t="shared" ref="I86:AL86" si="200">IF(I$49&lt;=0,0,IF(I84&lt;=0,0,-I84*$F32))</f>
        <v>0</v>
      </c>
      <c r="J86" s="480">
        <f t="shared" si="200"/>
        <v>0</v>
      </c>
      <c r="K86" s="480">
        <f t="shared" si="200"/>
        <v>-8.5600000000000009E-2</v>
      </c>
      <c r="L86" s="480">
        <f t="shared" si="200"/>
        <v>-7.7600000000000002E-2</v>
      </c>
      <c r="M86" s="480">
        <f t="shared" si="200"/>
        <v>-6.88E-2</v>
      </c>
      <c r="N86" s="480">
        <f t="shared" si="200"/>
        <v>-5.9200000000000003E-2</v>
      </c>
      <c r="O86" s="480">
        <f t="shared" si="200"/>
        <v>-4.8800000000000003E-2</v>
      </c>
      <c r="P86" s="480">
        <f t="shared" si="200"/>
        <v>-3.7600000000000001E-2</v>
      </c>
      <c r="Q86" s="480">
        <f t="shared" si="200"/>
        <v>-2.5600000000000001E-2</v>
      </c>
      <c r="R86" s="480">
        <f t="shared" si="200"/>
        <v>-1.2800000000000001E-2</v>
      </c>
      <c r="S86" s="480">
        <f t="shared" si="200"/>
        <v>0</v>
      </c>
      <c r="T86" s="480">
        <f t="shared" si="200"/>
        <v>0</v>
      </c>
      <c r="U86" s="480">
        <f t="shared" si="200"/>
        <v>0</v>
      </c>
      <c r="V86" s="480">
        <f t="shared" si="200"/>
        <v>0</v>
      </c>
      <c r="W86" s="480">
        <f t="shared" si="200"/>
        <v>0</v>
      </c>
      <c r="X86" s="480">
        <f t="shared" si="200"/>
        <v>0</v>
      </c>
      <c r="Y86" s="480">
        <f t="shared" si="200"/>
        <v>0</v>
      </c>
      <c r="Z86" s="480">
        <f t="shared" si="200"/>
        <v>0</v>
      </c>
      <c r="AA86" s="480">
        <f t="shared" si="200"/>
        <v>0</v>
      </c>
      <c r="AB86" s="480">
        <f t="shared" si="200"/>
        <v>0</v>
      </c>
      <c r="AC86" s="480">
        <f t="shared" si="200"/>
        <v>0</v>
      </c>
      <c r="AD86" s="480">
        <f t="shared" si="200"/>
        <v>0</v>
      </c>
      <c r="AE86" s="480">
        <f t="shared" si="200"/>
        <v>0</v>
      </c>
      <c r="AF86" s="480">
        <f t="shared" si="200"/>
        <v>0</v>
      </c>
      <c r="AG86" s="480">
        <f t="shared" si="200"/>
        <v>0</v>
      </c>
      <c r="AH86" s="480">
        <f t="shared" si="200"/>
        <v>0</v>
      </c>
      <c r="AI86" s="480">
        <f t="shared" si="200"/>
        <v>0</v>
      </c>
      <c r="AJ86" s="480">
        <f t="shared" si="200"/>
        <v>0</v>
      </c>
      <c r="AK86" s="480">
        <f t="shared" si="200"/>
        <v>0</v>
      </c>
      <c r="AL86" s="481">
        <f t="shared" si="200"/>
        <v>0</v>
      </c>
    </row>
    <row r="87" spans="1:38">
      <c r="A87" s="314" t="s">
        <v>13</v>
      </c>
      <c r="B87" s="482" t="s">
        <v>21</v>
      </c>
      <c r="C87" s="483"/>
      <c r="D87" s="483"/>
      <c r="E87" s="483"/>
      <c r="F87" s="503">
        <f>NPV('Pre-conditions'!$B$8,I87:AL87)</f>
        <v>-0.72925880010927235</v>
      </c>
      <c r="G87" s="503"/>
      <c r="H87" s="511">
        <f t="shared" si="199"/>
        <v>-1.08</v>
      </c>
      <c r="I87" s="485">
        <f>ROUND(I85-I86,2)</f>
        <v>0</v>
      </c>
      <c r="J87" s="485">
        <f t="shared" ref="J87:AL87" si="201">ROUND(J85-J86,2)</f>
        <v>0</v>
      </c>
      <c r="K87" s="485">
        <f t="shared" si="201"/>
        <v>-0.1</v>
      </c>
      <c r="L87" s="485">
        <f t="shared" si="201"/>
        <v>-0.11</v>
      </c>
      <c r="M87" s="485">
        <f t="shared" si="201"/>
        <v>-0.12</v>
      </c>
      <c r="N87" s="485">
        <f t="shared" si="201"/>
        <v>-0.13</v>
      </c>
      <c r="O87" s="485">
        <f t="shared" si="201"/>
        <v>-0.14000000000000001</v>
      </c>
      <c r="P87" s="485">
        <f t="shared" si="201"/>
        <v>-0.15</v>
      </c>
      <c r="Q87" s="485">
        <f t="shared" si="201"/>
        <v>-0.16</v>
      </c>
      <c r="R87" s="485">
        <f t="shared" si="201"/>
        <v>-0.17</v>
      </c>
      <c r="S87" s="485">
        <f t="shared" si="201"/>
        <v>0</v>
      </c>
      <c r="T87" s="485">
        <f t="shared" si="201"/>
        <v>0</v>
      </c>
      <c r="U87" s="485">
        <f t="shared" si="201"/>
        <v>0</v>
      </c>
      <c r="V87" s="485">
        <f t="shared" si="201"/>
        <v>0</v>
      </c>
      <c r="W87" s="485">
        <f t="shared" si="201"/>
        <v>0</v>
      </c>
      <c r="X87" s="485">
        <f t="shared" si="201"/>
        <v>0</v>
      </c>
      <c r="Y87" s="485">
        <f t="shared" si="201"/>
        <v>0</v>
      </c>
      <c r="Z87" s="485">
        <f t="shared" si="201"/>
        <v>0</v>
      </c>
      <c r="AA87" s="485">
        <f t="shared" si="201"/>
        <v>0</v>
      </c>
      <c r="AB87" s="485">
        <f t="shared" si="201"/>
        <v>0</v>
      </c>
      <c r="AC87" s="485">
        <f t="shared" si="201"/>
        <v>0</v>
      </c>
      <c r="AD87" s="485">
        <f t="shared" si="201"/>
        <v>0</v>
      </c>
      <c r="AE87" s="485">
        <f t="shared" si="201"/>
        <v>0</v>
      </c>
      <c r="AF87" s="485">
        <f t="shared" si="201"/>
        <v>0</v>
      </c>
      <c r="AG87" s="485">
        <f t="shared" si="201"/>
        <v>0</v>
      </c>
      <c r="AH87" s="485">
        <f t="shared" si="201"/>
        <v>0</v>
      </c>
      <c r="AI87" s="485">
        <f t="shared" si="201"/>
        <v>0</v>
      </c>
      <c r="AJ87" s="485">
        <f t="shared" si="201"/>
        <v>0</v>
      </c>
      <c r="AK87" s="485">
        <f t="shared" si="201"/>
        <v>0</v>
      </c>
      <c r="AL87" s="486">
        <f t="shared" si="201"/>
        <v>0</v>
      </c>
    </row>
    <row r="88" spans="1:38">
      <c r="A88" s="300" t="s">
        <v>77</v>
      </c>
      <c r="B88" s="488"/>
      <c r="C88" s="472"/>
      <c r="D88" s="472"/>
      <c r="E88" s="472"/>
      <c r="F88" s="473"/>
      <c r="G88" s="473"/>
      <c r="H88" s="473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11"/>
    </row>
    <row r="89" spans="1:38">
      <c r="A89" s="306" t="s">
        <v>12</v>
      </c>
      <c r="B89" s="476" t="s">
        <v>21</v>
      </c>
      <c r="C89" s="474"/>
      <c r="D89" s="474"/>
      <c r="E89" s="474"/>
      <c r="F89" s="503">
        <f>NPV('Pre-conditions'!$B$8,I89:AL89)</f>
        <v>7.5092047281382284</v>
      </c>
      <c r="G89" s="503"/>
      <c r="H89" s="504">
        <f>SUM(I89:AH89)</f>
        <v>12.935635</v>
      </c>
      <c r="I89" s="514">
        <f>-(I56+I62+I68+I74+I80+I86+I51)</f>
        <v>0</v>
      </c>
      <c r="J89" s="514">
        <f t="shared" ref="J89:AL89" si="202">-(J56+J62+J68+J74+J80+J86+J51)</f>
        <v>0</v>
      </c>
      <c r="K89" s="514">
        <f t="shared" si="202"/>
        <v>8.5600000000000009E-2</v>
      </c>
      <c r="L89" s="514">
        <f t="shared" si="202"/>
        <v>1.9033850000000005</v>
      </c>
      <c r="M89" s="514">
        <f t="shared" si="202"/>
        <v>1.0701999999999998</v>
      </c>
      <c r="N89" s="514">
        <f t="shared" si="202"/>
        <v>1.0197000000000001</v>
      </c>
      <c r="O89" s="514">
        <f t="shared" si="202"/>
        <v>0.96410000000000007</v>
      </c>
      <c r="P89" s="514">
        <f t="shared" si="202"/>
        <v>0.90340000000000009</v>
      </c>
      <c r="Q89" s="514">
        <f t="shared" si="202"/>
        <v>0.83845000000000003</v>
      </c>
      <c r="R89" s="514">
        <f t="shared" si="202"/>
        <v>0.78880000000000006</v>
      </c>
      <c r="S89" s="514">
        <f t="shared" si="202"/>
        <v>0.73740000000000006</v>
      </c>
      <c r="T89" s="514">
        <f t="shared" si="202"/>
        <v>0.69540000000000002</v>
      </c>
      <c r="U89" s="514">
        <f t="shared" si="202"/>
        <v>0.64900000000000002</v>
      </c>
      <c r="V89" s="514">
        <f t="shared" si="202"/>
        <v>0.59920000000000007</v>
      </c>
      <c r="W89" s="514">
        <f t="shared" si="202"/>
        <v>0.54499999999999993</v>
      </c>
      <c r="X89" s="514">
        <f t="shared" si="202"/>
        <v>0.48560000000000003</v>
      </c>
      <c r="Y89" s="514">
        <f t="shared" si="202"/>
        <v>0.42100000000000004</v>
      </c>
      <c r="Z89" s="514">
        <f t="shared" si="202"/>
        <v>0.35120000000000001</v>
      </c>
      <c r="AA89" s="514">
        <f t="shared" si="202"/>
        <v>0.27520000000000006</v>
      </c>
      <c r="AB89" s="514">
        <f t="shared" si="202"/>
        <v>0.19400000000000001</v>
      </c>
      <c r="AC89" s="514">
        <f t="shared" si="202"/>
        <v>0.16100000000000003</v>
      </c>
      <c r="AD89" s="514">
        <f t="shared" si="202"/>
        <v>0.124</v>
      </c>
      <c r="AE89" s="514">
        <f t="shared" si="202"/>
        <v>8.4000000000000005E-2</v>
      </c>
      <c r="AF89" s="514">
        <f t="shared" si="202"/>
        <v>4.0000000000000008E-2</v>
      </c>
      <c r="AG89" s="514">
        <f t="shared" si="202"/>
        <v>0</v>
      </c>
      <c r="AH89" s="514">
        <f t="shared" si="202"/>
        <v>0</v>
      </c>
      <c r="AI89" s="514">
        <f t="shared" si="202"/>
        <v>0</v>
      </c>
      <c r="AJ89" s="514">
        <f t="shared" si="202"/>
        <v>0</v>
      </c>
      <c r="AK89" s="514">
        <f t="shared" si="202"/>
        <v>0</v>
      </c>
      <c r="AL89" s="515">
        <f t="shared" si="202"/>
        <v>0</v>
      </c>
    </row>
    <row r="90" spans="1:38">
      <c r="A90" s="306" t="s">
        <v>13</v>
      </c>
      <c r="B90" s="476" t="s">
        <v>21</v>
      </c>
      <c r="C90" s="474"/>
      <c r="D90" s="474"/>
      <c r="E90" s="474"/>
      <c r="F90" s="503">
        <f>NPV('Pre-conditions'!$B$8,I90:AL90)</f>
        <v>6.1610597940050624</v>
      </c>
      <c r="G90" s="503"/>
      <c r="H90" s="504">
        <f t="shared" ref="H90:H91" si="203">SUM(I90:AH90)</f>
        <v>12.93</v>
      </c>
      <c r="I90" s="514">
        <f t="shared" ref="I90:J90" si="204">-(I57+I63+I69+I75+I81+I87)</f>
        <v>0</v>
      </c>
      <c r="J90" s="514">
        <f t="shared" si="204"/>
        <v>0</v>
      </c>
      <c r="K90" s="514">
        <f>-(K57+K63+K69+K75+K81+K87)</f>
        <v>0.1</v>
      </c>
      <c r="L90" s="514">
        <f t="shared" ref="L90:AL90" si="205">-(L57+L63+L69+L75+L81+L87)</f>
        <v>0.28000000000000003</v>
      </c>
      <c r="M90" s="514">
        <f t="shared" si="205"/>
        <v>0.6</v>
      </c>
      <c r="N90" s="514">
        <f t="shared" si="205"/>
        <v>0.66</v>
      </c>
      <c r="O90" s="514">
        <f t="shared" si="205"/>
        <v>0.72</v>
      </c>
      <c r="P90" s="514">
        <f t="shared" si="205"/>
        <v>0.77</v>
      </c>
      <c r="Q90" s="514">
        <f t="shared" si="205"/>
        <v>0.83</v>
      </c>
      <c r="R90" s="514">
        <f t="shared" si="205"/>
        <v>0.62</v>
      </c>
      <c r="S90" s="514">
        <f t="shared" si="205"/>
        <v>0.49</v>
      </c>
      <c r="T90" s="514">
        <f t="shared" si="205"/>
        <v>0.54</v>
      </c>
      <c r="U90" s="514">
        <f t="shared" si="205"/>
        <v>0.57999999999999996</v>
      </c>
      <c r="V90" s="514">
        <f t="shared" si="205"/>
        <v>0.63</v>
      </c>
      <c r="W90" s="514">
        <f t="shared" si="205"/>
        <v>0.69</v>
      </c>
      <c r="X90" s="514">
        <f t="shared" si="205"/>
        <v>0.75</v>
      </c>
      <c r="Y90" s="514">
        <f t="shared" si="205"/>
        <v>0.81</v>
      </c>
      <c r="Z90" s="514">
        <f t="shared" si="205"/>
        <v>0.88</v>
      </c>
      <c r="AA90" s="514">
        <f t="shared" si="205"/>
        <v>0.95</v>
      </c>
      <c r="AB90" s="514">
        <f t="shared" si="205"/>
        <v>0.33</v>
      </c>
      <c r="AC90" s="514">
        <f t="shared" si="205"/>
        <v>0.37</v>
      </c>
      <c r="AD90" s="514">
        <f t="shared" si="205"/>
        <v>0.4</v>
      </c>
      <c r="AE90" s="514">
        <f t="shared" si="205"/>
        <v>0.44</v>
      </c>
      <c r="AF90" s="514">
        <f t="shared" si="205"/>
        <v>0.49</v>
      </c>
      <c r="AG90" s="514">
        <f t="shared" si="205"/>
        <v>0</v>
      </c>
      <c r="AH90" s="514">
        <f t="shared" si="205"/>
        <v>0</v>
      </c>
      <c r="AI90" s="514">
        <f t="shared" si="205"/>
        <v>0</v>
      </c>
      <c r="AJ90" s="514">
        <f t="shared" si="205"/>
        <v>0</v>
      </c>
      <c r="AK90" s="514">
        <f t="shared" si="205"/>
        <v>0</v>
      </c>
      <c r="AL90" s="515">
        <f t="shared" si="205"/>
        <v>0</v>
      </c>
    </row>
    <row r="91" spans="1:38">
      <c r="A91" s="314" t="s">
        <v>79</v>
      </c>
      <c r="B91" s="482" t="s">
        <v>21</v>
      </c>
      <c r="C91" s="483"/>
      <c r="D91" s="483"/>
      <c r="E91" s="483"/>
      <c r="F91" s="512">
        <f>NPV('Pre-conditions'!$B$8,I91:AL91)</f>
        <v>13.67026452214329</v>
      </c>
      <c r="G91" s="512"/>
      <c r="H91" s="511">
        <f t="shared" si="203"/>
        <v>25.865635000000005</v>
      </c>
      <c r="I91" s="516">
        <f>I89+I90</f>
        <v>0</v>
      </c>
      <c r="J91" s="516">
        <f t="shared" ref="J91:AL91" si="206">J89+J90</f>
        <v>0</v>
      </c>
      <c r="K91" s="516">
        <f t="shared" si="206"/>
        <v>0.18560000000000001</v>
      </c>
      <c r="L91" s="516">
        <f t="shared" si="206"/>
        <v>2.1833850000000004</v>
      </c>
      <c r="M91" s="516">
        <f t="shared" si="206"/>
        <v>1.6701999999999999</v>
      </c>
      <c r="N91" s="516">
        <f t="shared" si="206"/>
        <v>1.6797</v>
      </c>
      <c r="O91" s="516">
        <f t="shared" si="206"/>
        <v>1.6840999999999999</v>
      </c>
      <c r="P91" s="516">
        <f t="shared" si="206"/>
        <v>1.6734</v>
      </c>
      <c r="Q91" s="516">
        <f t="shared" si="206"/>
        <v>1.66845</v>
      </c>
      <c r="R91" s="516">
        <f t="shared" si="206"/>
        <v>1.4088000000000001</v>
      </c>
      <c r="S91" s="516">
        <f t="shared" si="206"/>
        <v>1.2274</v>
      </c>
      <c r="T91" s="516">
        <f t="shared" si="206"/>
        <v>1.2354000000000001</v>
      </c>
      <c r="U91" s="516">
        <f t="shared" si="206"/>
        <v>1.2290000000000001</v>
      </c>
      <c r="V91" s="516">
        <f t="shared" si="206"/>
        <v>1.2292000000000001</v>
      </c>
      <c r="W91" s="516">
        <f t="shared" si="206"/>
        <v>1.2349999999999999</v>
      </c>
      <c r="X91" s="516">
        <f t="shared" si="206"/>
        <v>1.2356</v>
      </c>
      <c r="Y91" s="516">
        <f t="shared" si="206"/>
        <v>1.2310000000000001</v>
      </c>
      <c r="Z91" s="516">
        <f t="shared" si="206"/>
        <v>1.2312000000000001</v>
      </c>
      <c r="AA91" s="516">
        <f t="shared" si="206"/>
        <v>1.2252000000000001</v>
      </c>
      <c r="AB91" s="516">
        <f t="shared" si="206"/>
        <v>0.52400000000000002</v>
      </c>
      <c r="AC91" s="516">
        <f t="shared" si="206"/>
        <v>0.53100000000000003</v>
      </c>
      <c r="AD91" s="516">
        <f t="shared" si="206"/>
        <v>0.52400000000000002</v>
      </c>
      <c r="AE91" s="516">
        <f t="shared" si="206"/>
        <v>0.52400000000000002</v>
      </c>
      <c r="AF91" s="516">
        <f t="shared" si="206"/>
        <v>0.53</v>
      </c>
      <c r="AG91" s="516">
        <f t="shared" si="206"/>
        <v>0</v>
      </c>
      <c r="AH91" s="516">
        <f t="shared" si="206"/>
        <v>0</v>
      </c>
      <c r="AI91" s="516">
        <f t="shared" si="206"/>
        <v>0</v>
      </c>
      <c r="AJ91" s="516">
        <f t="shared" si="206"/>
        <v>0</v>
      </c>
      <c r="AK91" s="516">
        <f t="shared" si="206"/>
        <v>0</v>
      </c>
      <c r="AL91" s="517">
        <f t="shared" si="206"/>
        <v>0</v>
      </c>
    </row>
    <row r="92" spans="1:38">
      <c r="H92" s="518"/>
    </row>
  </sheetData>
  <sheetProtection algorithmName="SHA-512" hashValue="CUEttiY0+2QhaDpl9vWwXeWNmAO2yAeFMfuqbGwKZC/kfWwW7rHhCJZWAJm8gEg0TQktDTMAgpkVdsEsc25Ojg==" saltValue="NPnAuQuF5++TacrnZERcSQ==" spinCount="100000" sheet="1" objects="1" scenarios="1"/>
  <mergeCells count="1">
    <mergeCell ref="E23:G23"/>
  </mergeCells>
  <conditionalFormatting sqref="B26">
    <cfRule type="cellIs" dxfId="50" priority="46" operator="greaterThan">
      <formula>0.35</formula>
    </cfRule>
    <cfRule type="cellIs" dxfId="49" priority="47" operator="between">
      <formula>0.16</formula>
      <formula>0.3</formula>
    </cfRule>
    <cfRule type="cellIs" dxfId="48" priority="48" operator="between">
      <formula>0.31</formula>
      <formula>0.35</formula>
    </cfRule>
    <cfRule type="cellIs" dxfId="47" priority="49" operator="between">
      <formula>0</formula>
      <formula>0.15</formula>
    </cfRule>
    <cfRule type="colorScale" priority="50">
      <colorScale>
        <cfvo type="percent" val="&quot;0-15&quot;"/>
        <cfvo type="percent" val="&quot;16-30&quot;"/>
        <cfvo type="percent" val="&quot;31-40&quot;"/>
        <color rgb="FFFF0000"/>
        <color rgb="FFFFFF00"/>
        <color rgb="FF63BE7B"/>
      </colorScale>
    </cfRule>
  </conditionalFormatting>
  <conditionalFormatting sqref="B10">
    <cfRule type="cellIs" dxfId="46" priority="42" operator="greaterThanOrEqual">
      <formula>0.35</formula>
    </cfRule>
    <cfRule type="cellIs" dxfId="45" priority="43" operator="between">
      <formula>0.31</formula>
      <formula>0.35</formula>
    </cfRule>
    <cfRule type="cellIs" dxfId="44" priority="44" operator="between">
      <formula>0.16</formula>
      <formula>0.31</formula>
    </cfRule>
    <cfRule type="cellIs" dxfId="43" priority="45" operator="lessThanOrEqual">
      <formula>0.15</formula>
    </cfRule>
  </conditionalFormatting>
  <conditionalFormatting sqref="K63:AL63 J60:AL60">
    <cfRule type="cellIs" dxfId="42" priority="41" operator="notEqual">
      <formula>0</formula>
    </cfRule>
  </conditionalFormatting>
  <conditionalFormatting sqref="I54:AL57">
    <cfRule type="cellIs" dxfId="41" priority="40" operator="notEqual">
      <formula>0</formula>
    </cfRule>
  </conditionalFormatting>
  <conditionalFormatting sqref="I66:AL69">
    <cfRule type="cellIs" dxfId="40" priority="39" operator="notEqual">
      <formula>0</formula>
    </cfRule>
  </conditionalFormatting>
  <conditionalFormatting sqref="I72:AL75">
    <cfRule type="cellIs" dxfId="39" priority="38" operator="notEqual">
      <formula>0</formula>
    </cfRule>
  </conditionalFormatting>
  <conditionalFormatting sqref="I78:AL78 I81:AL81">
    <cfRule type="cellIs" dxfId="38" priority="37" operator="notEqual">
      <formula>0</formula>
    </cfRule>
  </conditionalFormatting>
  <conditionalFormatting sqref="I84:AL84 I87:AL87">
    <cfRule type="cellIs" dxfId="37" priority="36" operator="notEqual">
      <formula>0</formula>
    </cfRule>
  </conditionalFormatting>
  <conditionalFormatting sqref="I89:AL91">
    <cfRule type="cellIs" dxfId="36" priority="35" operator="notEqual">
      <formula>0</formula>
    </cfRule>
  </conditionalFormatting>
  <conditionalFormatting sqref="H25">
    <cfRule type="cellIs" dxfId="35" priority="32" operator="equal">
      <formula>$H$33</formula>
    </cfRule>
    <cfRule type="cellIs" dxfId="34" priority="33" operator="notEqual">
      <formula>$H$33</formula>
    </cfRule>
  </conditionalFormatting>
  <conditionalFormatting sqref="H33">
    <cfRule type="cellIs" dxfId="33" priority="31" operator="notEqual">
      <formula>$H$25</formula>
    </cfRule>
  </conditionalFormatting>
  <conditionalFormatting sqref="H27">
    <cfRule type="cellIs" dxfId="32" priority="29" operator="notEqual">
      <formula>$C$11</formula>
    </cfRule>
  </conditionalFormatting>
  <conditionalFormatting sqref="H28">
    <cfRule type="cellIs" dxfId="31" priority="28" operator="notEqual">
      <formula>$C$12</formula>
    </cfRule>
  </conditionalFormatting>
  <conditionalFormatting sqref="H29">
    <cfRule type="cellIs" dxfId="30" priority="27" operator="notEqual">
      <formula>$C$13</formula>
    </cfRule>
  </conditionalFormatting>
  <conditionalFormatting sqref="I79:AL79">
    <cfRule type="cellIs" dxfId="29" priority="6" operator="notEqual">
      <formula>0</formula>
    </cfRule>
  </conditionalFormatting>
  <conditionalFormatting sqref="I61:I63 I60:AL60 J61:AL62">
    <cfRule type="cellIs" dxfId="28" priority="19" operator="notEqual">
      <formula>0</formula>
    </cfRule>
  </conditionalFormatting>
  <conditionalFormatting sqref="J63">
    <cfRule type="cellIs" dxfId="27" priority="18" operator="notEqual">
      <formula>0</formula>
    </cfRule>
  </conditionalFormatting>
  <conditionalFormatting sqref="K86:AL86">
    <cfRule type="cellIs" dxfId="26" priority="13" operator="notEqual">
      <formula>0</formula>
    </cfRule>
  </conditionalFormatting>
  <conditionalFormatting sqref="K85:AL85">
    <cfRule type="cellIs" dxfId="25" priority="12" operator="notEqual">
      <formula>0</formula>
    </cfRule>
  </conditionalFormatting>
  <conditionalFormatting sqref="I86:J86">
    <cfRule type="cellIs" dxfId="24" priority="11" operator="notEqual">
      <formula>0</formula>
    </cfRule>
  </conditionalFormatting>
  <conditionalFormatting sqref="I85:J85">
    <cfRule type="cellIs" dxfId="23" priority="10" operator="notEqual">
      <formula>0</formula>
    </cfRule>
  </conditionalFormatting>
  <conditionalFormatting sqref="I80:AL80">
    <cfRule type="cellIs" dxfId="22" priority="7" operator="notEqual">
      <formula>0</formula>
    </cfRule>
  </conditionalFormatting>
  <conditionalFormatting sqref="I51:AL51">
    <cfRule type="cellIs" dxfId="21" priority="5" operator="notEqual">
      <formula>0</formula>
    </cfRule>
  </conditionalFormatting>
  <conditionalFormatting sqref="H30">
    <cfRule type="cellIs" dxfId="20" priority="3" operator="notEqual">
      <formula>$C$14</formula>
    </cfRule>
  </conditionalFormatting>
  <conditionalFormatting sqref="H31">
    <cfRule type="cellIs" dxfId="19" priority="2" operator="notEqual">
      <formula>$C$15</formula>
    </cfRule>
  </conditionalFormatting>
  <conditionalFormatting sqref="H32">
    <cfRule type="cellIs" dxfId="18" priority="1" operator="notEqual">
      <formula>$C$16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Header>&amp;LApplication Form&amp;R&amp;D  &amp;T</oddHeader>
    <oddFooter>&amp;L&amp;G&amp;C&amp;Z&amp;F&amp;R&amp;A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lessThan" id="{90605A18-4FE8-4083-A50D-78F3400C4FB0}">
            <xm:f>'Pre-conditions'!$B$8</xm:f>
            <x14:dxf>
              <fill>
                <patternFill>
                  <bgColor rgb="FF00B050"/>
                </patternFill>
              </fill>
            </x14:dxf>
          </x14:cfRule>
          <x14:cfRule type="cellIs" priority="21" operator="between" id="{D4E48513-7C55-47F1-BEA3-2396CD2A40D2}">
            <xm:f>'Pre-conditions'!$B$8</xm:f>
            <xm:f>'Pre-conditions'!$B$9</xm:f>
            <x14:dxf>
              <fill>
                <patternFill>
                  <bgColor rgb="FFFFC000"/>
                </patternFill>
              </fill>
            </x14:dxf>
          </x14:cfRule>
          <x14:cfRule type="cellIs" priority="22" operator="greaterThan" id="{7F2806FA-A0B0-44FB-8831-A0302F00B62B}">
            <xm:f>'Pre-conditions'!$B$9</xm:f>
            <x14:dxf>
              <fill>
                <patternFill>
                  <bgColor rgb="FFFF0000"/>
                </patternFill>
              </fill>
            </x14:dxf>
          </x14:cfRule>
          <xm:sqref>E21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32</vt:i4>
      </vt:variant>
    </vt:vector>
  </HeadingPairs>
  <TitlesOfParts>
    <vt:vector size="53" baseType="lpstr">
      <vt:lpstr>Document Control</vt:lpstr>
      <vt:lpstr>Applicant information</vt:lpstr>
      <vt:lpstr>Management reporting</vt:lpstr>
      <vt:lpstr>Balance Sheet</vt:lpstr>
      <vt:lpstr>Income Sheet</vt:lpstr>
      <vt:lpstr>Pre-conditions</vt:lpstr>
      <vt:lpstr>Technical details</vt:lpstr>
      <vt:lpstr>Investment budget</vt:lpstr>
      <vt:lpstr>Financing</vt:lpstr>
      <vt:lpstr>Income</vt:lpstr>
      <vt:lpstr>Balance Sheet - Stakeholder 1</vt:lpstr>
      <vt:lpstr>Balance Sheet - Stakeholder 2</vt:lpstr>
      <vt:lpstr>Balance Sheet - Stakeholder 3</vt:lpstr>
      <vt:lpstr>Balance Sheet - Stakeholder 4</vt:lpstr>
      <vt:lpstr>Balance Sheet - Stakeholder 5</vt:lpstr>
      <vt:lpstr>Income Sheet - Stakeholder 1</vt:lpstr>
      <vt:lpstr>Income Sheet - Stakeholder  2</vt:lpstr>
      <vt:lpstr>Income Sheet - Stakeholder  3</vt:lpstr>
      <vt:lpstr>Income Sheet - Stakeholder  4</vt:lpstr>
      <vt:lpstr>Income Sheet - Stakeholder  5</vt:lpstr>
      <vt:lpstr>Sheet2</vt:lpstr>
      <vt:lpstr>'Document Control'!_Toc486353754</vt:lpstr>
      <vt:lpstr>'Balance Sheet - Stakeholder 1'!E</vt:lpstr>
      <vt:lpstr>'Balance Sheet - Stakeholder 2'!E</vt:lpstr>
      <vt:lpstr>'Balance Sheet - Stakeholder 3'!E</vt:lpstr>
      <vt:lpstr>'Balance Sheet - Stakeholder 4'!E</vt:lpstr>
      <vt:lpstr>'Balance Sheet - Stakeholder 5'!E</vt:lpstr>
      <vt:lpstr>E</vt:lpstr>
      <vt:lpstr>'Balance Sheet - Stakeholder 1'!F</vt:lpstr>
      <vt:lpstr>'Balance Sheet - Stakeholder 2'!F</vt:lpstr>
      <vt:lpstr>'Balance Sheet - Stakeholder 3'!F</vt:lpstr>
      <vt:lpstr>'Balance Sheet - Stakeholder 4'!F</vt:lpstr>
      <vt:lpstr>'Balance Sheet - Stakeholder 5'!F</vt:lpstr>
      <vt:lpstr>F</vt:lpstr>
      <vt:lpstr>'Applicant information'!Print_Area</vt:lpstr>
      <vt:lpstr>'Balance Sheet'!Print_Area</vt:lpstr>
      <vt:lpstr>'Balance Sheet - Stakeholder 1'!Print_Area</vt:lpstr>
      <vt:lpstr>'Balance Sheet - Stakeholder 2'!Print_Area</vt:lpstr>
      <vt:lpstr>'Balance Sheet - Stakeholder 3'!Print_Area</vt:lpstr>
      <vt:lpstr>'Balance Sheet - Stakeholder 4'!Print_Area</vt:lpstr>
      <vt:lpstr>'Balance Sheet - Stakeholder 5'!Print_Area</vt:lpstr>
      <vt:lpstr>Financing!Print_Area</vt:lpstr>
      <vt:lpstr>Income!Print_Area</vt:lpstr>
      <vt:lpstr>'Income Sheet'!Print_Area</vt:lpstr>
      <vt:lpstr>'Income Sheet - Stakeholder  2'!Print_Area</vt:lpstr>
      <vt:lpstr>'Income Sheet - Stakeholder  3'!Print_Area</vt:lpstr>
      <vt:lpstr>'Income Sheet - Stakeholder  4'!Print_Area</vt:lpstr>
      <vt:lpstr>'Income Sheet - Stakeholder  5'!Print_Area</vt:lpstr>
      <vt:lpstr>'Income Sheet - Stakeholder 1'!Print_Area</vt:lpstr>
      <vt:lpstr>'Investment budget'!Print_Area</vt:lpstr>
      <vt:lpstr>'Management reporting'!Print_Area</vt:lpstr>
      <vt:lpstr>'Pre-conditions'!Print_Area</vt:lpstr>
      <vt:lpstr>'Technical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 Bunk Lauritsen (SDL)</dc:creator>
  <cp:lastModifiedBy>Anselm Olweny</cp:lastModifiedBy>
  <cp:lastPrinted>2014-11-04T14:04:46Z</cp:lastPrinted>
  <dcterms:created xsi:type="dcterms:W3CDTF">2014-09-11T09:39:54Z</dcterms:created>
  <dcterms:modified xsi:type="dcterms:W3CDTF">2023-03-31T02:13:56Z</dcterms:modified>
</cp:coreProperties>
</file>